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4.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5.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6.xml" ContentType="application/vnd.openxmlformats-officedocument.drawing+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omments2.xml" ContentType="application/vnd.openxmlformats-officedocument.spreadsheetml.comments+xml"/>
  <Override PartName="/xl/drawings/drawing7.xml" ContentType="application/vnd.openxmlformats-officedocument.drawing+xml"/>
  <Override PartName="/xl/ctrlProps/ctrlProp47.xml" ContentType="application/vnd.ms-excel.controlproperties+xml"/>
  <Override PartName="/xl/ctrlProps/ctrlProp48.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8.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https://owatonnapublicutilities-my.sharepoint.com/personal/tammy_schmoll_owatonnautilities_com/Documents/My Documents/Marketing/Website/2025/"/>
    </mc:Choice>
  </mc:AlternateContent>
  <xr:revisionPtr revIDLastSave="0" documentId="8_{CC9A8C19-C0D5-4C87-A0C1-49F475A80DAD}" xr6:coauthVersionLast="47" xr6:coauthVersionMax="47" xr10:uidLastSave="{00000000-0000-0000-0000-000000000000}"/>
  <bookViews>
    <workbookView xWindow="-120" yWindow="-120" windowWidth="29040" windowHeight="17520" tabRatio="850" xr2:uid="{00000000-000D-0000-FFFF-FFFF00000000}"/>
  </bookViews>
  <sheets>
    <sheet name="Instructions" sheetId="26" r:id="rId1"/>
    <sheet name="Customer Information" sheetId="21" r:id="rId2"/>
    <sheet name="Rebate Information (Rooftops)" sheetId="2" r:id="rId3"/>
    <sheet name="Rebate Info Rooftop SEER2" sheetId="28" r:id="rId4"/>
    <sheet name="Rebate Information (Chillers-W)" sheetId="23" r:id="rId5"/>
    <sheet name="Rebate Information (Chillers-A)" sheetId="24" r:id="rId6"/>
    <sheet name="Rooftop Savings" sheetId="10" r:id="rId7"/>
    <sheet name="Rebate Information (Chillers)1" sheetId="3" state="hidden" r:id="rId8"/>
    <sheet name="Rooftop Savings SEER2" sheetId="29" r:id="rId9"/>
    <sheet name="Water Cooled Chillers Savings" sheetId="22" r:id="rId10"/>
    <sheet name="Air Cooled Chillers Savings" sheetId="25" r:id="rId11"/>
    <sheet name="Financial Summary" sheetId="11" r:id="rId12"/>
    <sheet name="Terms and Conditions" sheetId="27" r:id="rId13"/>
    <sheet name="Terms and Conditions -hide" sheetId="5" state="hidden" r:id="rId14"/>
    <sheet name="List_Codes_hide" sheetId="13" state="hidden" r:id="rId15"/>
    <sheet name="Revision Log" sheetId="7" state="hidden" r:id="rId16"/>
  </sheets>
  <definedNames>
    <definedName name="_Key1" localSheetId="10" hidden="1">#REF!</definedName>
    <definedName name="_Key1" localSheetId="3" hidden="1">#REF!</definedName>
    <definedName name="_Key1" localSheetId="5" hidden="1">#REF!</definedName>
    <definedName name="_Key1" localSheetId="4" hidden="1">#REF!</definedName>
    <definedName name="_Key1" localSheetId="8" hidden="1">#REF!</definedName>
    <definedName name="_Key1" hidden="1">#REF!</definedName>
    <definedName name="_Order1" hidden="1">255</definedName>
    <definedName name="_Sort" localSheetId="10" hidden="1">#REF!</definedName>
    <definedName name="_Sort" localSheetId="3" hidden="1">#REF!</definedName>
    <definedName name="_Sort" localSheetId="5" hidden="1">#REF!</definedName>
    <definedName name="_Sort" localSheetId="4" hidden="1">#REF!</definedName>
    <definedName name="_Sort" localSheetId="8" hidden="1">#REF!</definedName>
    <definedName name="_Sort" hidden="1">#REF!</definedName>
    <definedName name="AirChillerTotal">'Rebate Information (Chillers-A)'!$U$20</definedName>
    <definedName name="Bonus_Incentive" localSheetId="3">List_Codes_hide!#REF!</definedName>
    <definedName name="Bonus_Incentive" localSheetId="8">List_Codes_hide!#REF!</definedName>
    <definedName name="Bonus_Incentive">List_Codes_hide!#REF!</definedName>
    <definedName name="ContractorAddress" localSheetId="1">'Customer Information'!$B$53</definedName>
    <definedName name="ContractorCity" localSheetId="1">'Customer Information'!$G$53</definedName>
    <definedName name="ContractorContact" localSheetId="1">'Customer Information'!$B$56</definedName>
    <definedName name="ContractorEmail" localSheetId="1">'Customer Information'!$B$59</definedName>
    <definedName name="ContractorName" localSheetId="1">'Customer Information'!$B$50</definedName>
    <definedName name="ContractorPhone" localSheetId="1">'Customer Information'!$I$56</definedName>
    <definedName name="ContractorState" localSheetId="1">'Customer Information'!$J$53</definedName>
    <definedName name="ContractorZip" localSheetId="1">'Customer Information'!$K$53</definedName>
    <definedName name="CustomerInstallAddress" localSheetId="1">'Customer Information'!$B$13</definedName>
    <definedName name="CustomerName" localSheetId="1">'Customer Information'!$B$10</definedName>
    <definedName name="Efficiencies" localSheetId="3">List_Codes_hide!#REF!</definedName>
    <definedName name="Efficiencies" localSheetId="8">List_Codes_hide!#REF!</definedName>
    <definedName name="Efficiencies">List_Codes_hide!#REF!</definedName>
    <definedName name="Efficiencies_2" localSheetId="3">List_Codes_hide!#REF!</definedName>
    <definedName name="Efficiencies_2" localSheetId="8">List_Codes_hide!#REF!</definedName>
    <definedName name="Efficiencies_2">List_Codes_hide!#REF!</definedName>
    <definedName name="Hours" localSheetId="3">List_Codes_hide!#REF!</definedName>
    <definedName name="Hours" localSheetId="8">List_Codes_hide!#REF!</definedName>
    <definedName name="Hours">List_Codes_hide!#REF!</definedName>
    <definedName name="Incentive_Bonus" localSheetId="3">List_Codes_hide!#REF!</definedName>
    <definedName name="Incentive_Bonus" localSheetId="8">List_Codes_hide!#REF!</definedName>
    <definedName name="Incentive_Bonus">List_Codes_hide!#REF!</definedName>
    <definedName name="Incentive_Bonus_2" localSheetId="3">List_Codes_hide!#REF!</definedName>
    <definedName name="Incentive_Bonus_2" localSheetId="8">List_Codes_hide!#REF!</definedName>
    <definedName name="Incentive_Bonus_2">List_Codes_hide!#REF!</definedName>
    <definedName name="Incentive_ton" localSheetId="3">List_Codes_hide!#REF!</definedName>
    <definedName name="Incentive_ton" localSheetId="8">List_Codes_hide!#REF!</definedName>
    <definedName name="Incentive_ton">List_Codes_hide!#REF!</definedName>
    <definedName name="Incentive_Ton_2" localSheetId="3">List_Codes_hide!#REF!</definedName>
    <definedName name="Incentive_Ton_2" localSheetId="8">List_Codes_hide!#REF!</definedName>
    <definedName name="Incentive_Ton_2">List_Codes_hide!#REF!</definedName>
    <definedName name="kw_ton">List_Codes_hide!$F$4:$F$26</definedName>
    <definedName name="Manufacturers" localSheetId="3">List_Codes_hide!#REF!</definedName>
    <definedName name="Manufacturers" localSheetId="8">List_Codes_hide!#REF!</definedName>
    <definedName name="Manufacturers">List_Codes_hide!#REF!</definedName>
    <definedName name="PC_Main">[0]!PC_Main</definedName>
    <definedName name="_xlnm.Print_Area" localSheetId="1">'Customer Information'!$A$1:$L$70</definedName>
    <definedName name="_xlnm.Print_Area" localSheetId="11">'Financial Summary'!$A$1:$K$50</definedName>
    <definedName name="_xlnm.Print_Area" localSheetId="0">Instructions!$A$1:$N$74</definedName>
    <definedName name="_xlnm.Print_Area" localSheetId="3">'Rebate Info Rooftop SEER2'!$A$1:$T$41</definedName>
    <definedName name="_xlnm.Print_Area" localSheetId="5">'Rebate Information (Chillers-A)'!$A$1:$V$45</definedName>
    <definedName name="_xlnm.Print_Area" localSheetId="4">'Rebate Information (Chillers-W)'!$A$1:$V$56</definedName>
    <definedName name="_xlnm.Print_Area" localSheetId="2">'Rebate Information (Rooftops)'!$A$1:$T$48</definedName>
    <definedName name="_xlnm.Print_Area" localSheetId="6">'Rooftop Savings'!$A$1:$M$27</definedName>
    <definedName name="_xlnm.Print_Area" localSheetId="8">'Rooftop Savings SEER2'!$A$1:$M$27</definedName>
    <definedName name="_xlnm.Print_Area" localSheetId="12">'Terms and Conditions'!$A$1:$N$80</definedName>
    <definedName name="_xlnm.Print_Area" localSheetId="13">'Terms and Conditions -hide'!$A$1:$K$62</definedName>
    <definedName name="Qualifying" localSheetId="3">List_Codes_hide!#REF!</definedName>
    <definedName name="Qualifying" localSheetId="8">List_Codes_hide!#REF!</definedName>
    <definedName name="Qualifying">List_Codes_hide!#REF!</definedName>
    <definedName name="Quantity">List_Codes_hide!$E$4:$E$23</definedName>
    <definedName name="RooftopTotal" localSheetId="3">'Rebate Info Rooftop SEER2'!$T$18</definedName>
    <definedName name="RooftopTotal">'Rebate Information (Rooftops)'!$T$18</definedName>
    <definedName name="SEER_EER">List_Codes_hide!$D$4:$D$85</definedName>
    <definedName name="Tons">List_Codes_hide!$B$4:$B$152</definedName>
    <definedName name="Tons_2">List_Codes_hide!$C$4:$C$12</definedName>
    <definedName name="Unit_Code_ChillersA">List_Codes_hide!$H$4:$H$7</definedName>
    <definedName name="Unit_Code_ChillersW">List_Codes_hide!$G$4:$G$19</definedName>
    <definedName name="Unit_Code_RTU" localSheetId="3">'Rebate Info Rooftop SEER2'!#REF!</definedName>
    <definedName name="Unit_Code_RTU">'Rebate Information (Rooftops)'!$A$22:$A$31</definedName>
    <definedName name="WaterChillerTotal">'Rebate Information (Chillers-W)'!$U$20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9" i="2" l="1"/>
  <c r="O36" i="2"/>
  <c r="O33" i="2"/>
  <c r="O30" i="2"/>
  <c r="O39" i="28"/>
  <c r="O33" i="28"/>
  <c r="O36" i="28"/>
  <c r="O30" i="28"/>
  <c r="I11" i="28" l="1"/>
  <c r="H12" i="29" l="1"/>
  <c r="G12" i="29"/>
  <c r="F12" i="29"/>
  <c r="B12" i="29"/>
  <c r="A12" i="29"/>
  <c r="H18" i="29"/>
  <c r="G18" i="29"/>
  <c r="J18" i="29" s="1"/>
  <c r="F18" i="29"/>
  <c r="E18" i="29"/>
  <c r="B18" i="29"/>
  <c r="A18" i="29"/>
  <c r="D18" i="29" s="1"/>
  <c r="L18" i="29" s="1"/>
  <c r="M18" i="29" s="1"/>
  <c r="H17" i="29"/>
  <c r="G17" i="29"/>
  <c r="J17" i="29" s="1"/>
  <c r="F17" i="29"/>
  <c r="E17" i="29"/>
  <c r="D17" i="29" s="1"/>
  <c r="B17" i="29"/>
  <c r="A17" i="29"/>
  <c r="C17" i="29" s="1"/>
  <c r="H16" i="29"/>
  <c r="G16" i="29"/>
  <c r="J16" i="29" s="1"/>
  <c r="F16" i="29"/>
  <c r="E16" i="29"/>
  <c r="B16" i="29"/>
  <c r="A16" i="29"/>
  <c r="C16" i="29" s="1"/>
  <c r="H15" i="29"/>
  <c r="G15" i="29"/>
  <c r="I15" i="29" s="1"/>
  <c r="F15" i="29"/>
  <c r="E15" i="29"/>
  <c r="J15" i="29" s="1"/>
  <c r="B15" i="29"/>
  <c r="A15" i="29"/>
  <c r="D15" i="29" s="1"/>
  <c r="L15" i="29" s="1"/>
  <c r="M15" i="29" s="1"/>
  <c r="H14" i="29"/>
  <c r="G14" i="29"/>
  <c r="I14" i="29" s="1"/>
  <c r="F14" i="29"/>
  <c r="E14" i="29"/>
  <c r="B14" i="29"/>
  <c r="A14" i="29"/>
  <c r="D14" i="29" s="1"/>
  <c r="H13" i="29"/>
  <c r="G13" i="29"/>
  <c r="F13" i="29"/>
  <c r="E13" i="29"/>
  <c r="B13" i="29"/>
  <c r="A13" i="29"/>
  <c r="D13" i="29" s="1"/>
  <c r="E12" i="29"/>
  <c r="B5" i="29"/>
  <c r="B4" i="29"/>
  <c r="L3" i="29"/>
  <c r="B2" i="29"/>
  <c r="A12" i="10"/>
  <c r="J13" i="29" l="1"/>
  <c r="L13" i="29" s="1"/>
  <c r="M13" i="29" s="1"/>
  <c r="I16" i="29"/>
  <c r="J14" i="29"/>
  <c r="L14" i="29" s="1"/>
  <c r="M14" i="29" s="1"/>
  <c r="C18" i="29"/>
  <c r="C14" i="29"/>
  <c r="K14" i="29" s="1"/>
  <c r="K16" i="29"/>
  <c r="D16" i="29"/>
  <c r="C13" i="29"/>
  <c r="J12" i="29"/>
  <c r="J21" i="29" s="1"/>
  <c r="J22" i="29" s="1"/>
  <c r="I12" i="29"/>
  <c r="D12" i="29"/>
  <c r="C12" i="29"/>
  <c r="L16" i="29"/>
  <c r="M16" i="29" s="1"/>
  <c r="L17" i="29"/>
  <c r="M17" i="29" s="1"/>
  <c r="I13" i="29"/>
  <c r="C15" i="29"/>
  <c r="K15" i="29" s="1"/>
  <c r="I17" i="29"/>
  <c r="K17" i="29" s="1"/>
  <c r="I18" i="29"/>
  <c r="K18" i="29" s="1"/>
  <c r="O11" i="28"/>
  <c r="P11" i="28" s="1"/>
  <c r="R11" i="28"/>
  <c r="O12" i="28"/>
  <c r="Q12" i="28"/>
  <c r="R12" i="28"/>
  <c r="Q11" i="28"/>
  <c r="I12" i="28"/>
  <c r="P12" i="28" s="1"/>
  <c r="X25" i="28"/>
  <c r="I13" i="28"/>
  <c r="I14" i="28"/>
  <c r="Q14" i="28" s="1"/>
  <c r="I15" i="28"/>
  <c r="I16" i="28"/>
  <c r="I17" i="28"/>
  <c r="P17" i="28" s="1"/>
  <c r="R13" i="28"/>
  <c r="R14" i="28"/>
  <c r="R15" i="28"/>
  <c r="R16" i="28"/>
  <c r="R17" i="28"/>
  <c r="O13" i="28"/>
  <c r="O14" i="28"/>
  <c r="O15" i="28"/>
  <c r="O16" i="28"/>
  <c r="O17" i="28"/>
  <c r="Q13" i="28"/>
  <c r="Q15" i="28"/>
  <c r="Q16" i="28"/>
  <c r="Q17" i="28"/>
  <c r="B10" i="28"/>
  <c r="A8" i="28"/>
  <c r="S12" i="28" l="1"/>
  <c r="T12" i="28" s="1"/>
  <c r="S16" i="28"/>
  <c r="S14" i="28"/>
  <c r="P16" i="28"/>
  <c r="L12" i="29"/>
  <c r="M12" i="29" s="1"/>
  <c r="K12" i="29"/>
  <c r="S11" i="28"/>
  <c r="I21" i="29"/>
  <c r="D21" i="29"/>
  <c r="D22" i="29" s="1"/>
  <c r="J26" i="29" s="1"/>
  <c r="C21" i="29"/>
  <c r="K13" i="29"/>
  <c r="P14" i="28"/>
  <c r="P13" i="28"/>
  <c r="P15" i="28"/>
  <c r="S15" i="28"/>
  <c r="S17" i="28"/>
  <c r="T17" i="28" s="1"/>
  <c r="S13" i="28"/>
  <c r="I13" i="2"/>
  <c r="I11" i="2"/>
  <c r="T13" i="28" l="1"/>
  <c r="T14" i="28"/>
  <c r="T16" i="28"/>
  <c r="T15" i="28"/>
  <c r="T11" i="28"/>
  <c r="J25" i="29"/>
  <c r="I25" i="29"/>
  <c r="A10" i="24"/>
  <c r="T18" i="28" l="1"/>
  <c r="T10" i="24"/>
  <c r="J10" i="24" l="1"/>
  <c r="L10" i="24"/>
  <c r="J11" i="24"/>
  <c r="L11" i="24"/>
  <c r="J12" i="24"/>
  <c r="L12" i="24"/>
  <c r="J13" i="24"/>
  <c r="L13" i="24"/>
  <c r="J10" i="23" l="1"/>
  <c r="J11" i="23"/>
  <c r="L12" i="23"/>
  <c r="Q11" i="2" l="1"/>
  <c r="O11" i="2"/>
  <c r="B7" i="24"/>
  <c r="A8" i="2"/>
  <c r="B7" i="23"/>
  <c r="I12" i="2" l="1"/>
  <c r="R11" i="2"/>
  <c r="O12" i="2"/>
  <c r="R12" i="2"/>
  <c r="O13" i="2"/>
  <c r="Q13" i="2"/>
  <c r="R13" i="2"/>
  <c r="I14" i="2"/>
  <c r="O14" i="2"/>
  <c r="Q14" i="2"/>
  <c r="R14" i="2"/>
  <c r="I15" i="2"/>
  <c r="O15" i="2"/>
  <c r="Q15" i="2"/>
  <c r="R15" i="2"/>
  <c r="I16" i="2"/>
  <c r="Q16" i="2" s="1"/>
  <c r="O16" i="2"/>
  <c r="R16" i="2"/>
  <c r="S15" i="2" l="1"/>
  <c r="P14" i="2"/>
  <c r="P13" i="2"/>
  <c r="S14" i="2"/>
  <c r="P12" i="2"/>
  <c r="P16" i="2"/>
  <c r="S13" i="2"/>
  <c r="S16" i="2"/>
  <c r="P15" i="2"/>
  <c r="T15" i="2" s="1"/>
  <c r="P11" i="2"/>
  <c r="S11" i="2"/>
  <c r="Q12" i="2"/>
  <c r="S12" i="2" s="1"/>
  <c r="T16" i="2" l="1"/>
  <c r="T14" i="2"/>
  <c r="T12" i="2"/>
  <c r="T13" i="2"/>
  <c r="T11" i="2"/>
  <c r="B10" i="2"/>
  <c r="L3" i="22" l="1"/>
  <c r="R17" i="2" l="1"/>
  <c r="O17" i="2"/>
  <c r="I17" i="2"/>
  <c r="Q17" i="2" s="1"/>
  <c r="S17" i="2" l="1"/>
  <c r="P17" i="2"/>
  <c r="T17" i="2" l="1"/>
  <c r="A1" i="27"/>
  <c r="F27" i="11"/>
  <c r="H27" i="11"/>
  <c r="G27" i="11"/>
  <c r="H22" i="22" l="1"/>
  <c r="G22" i="22"/>
  <c r="F22" i="22"/>
  <c r="E22" i="22"/>
  <c r="B22" i="22"/>
  <c r="A22" i="22"/>
  <c r="H21" i="22"/>
  <c r="G21" i="22"/>
  <c r="F21" i="22"/>
  <c r="E21" i="22"/>
  <c r="B21" i="22"/>
  <c r="A21" i="22"/>
  <c r="H20" i="22"/>
  <c r="G20" i="22"/>
  <c r="F20" i="22"/>
  <c r="E20" i="22"/>
  <c r="B20" i="22"/>
  <c r="A20" i="22"/>
  <c r="C20" i="22" s="1"/>
  <c r="H19" i="22"/>
  <c r="G19" i="22"/>
  <c r="F19" i="22"/>
  <c r="E19" i="22"/>
  <c r="B19" i="22"/>
  <c r="A19" i="22"/>
  <c r="H18" i="22"/>
  <c r="G18" i="22"/>
  <c r="I18" i="22" s="1"/>
  <c r="F18" i="22"/>
  <c r="E18" i="22"/>
  <c r="B18" i="22"/>
  <c r="A18" i="22"/>
  <c r="H17" i="22"/>
  <c r="G17" i="22"/>
  <c r="F17" i="22"/>
  <c r="E17" i="22"/>
  <c r="B17" i="22"/>
  <c r="A17" i="22"/>
  <c r="H16" i="22"/>
  <c r="G16" i="22"/>
  <c r="I16" i="22" s="1"/>
  <c r="F16" i="22"/>
  <c r="E16" i="22"/>
  <c r="B16" i="22"/>
  <c r="A16" i="22"/>
  <c r="C16" i="22" s="1"/>
  <c r="H15" i="22"/>
  <c r="G15" i="22"/>
  <c r="F15" i="22"/>
  <c r="E15" i="22"/>
  <c r="B15" i="22"/>
  <c r="A15" i="22"/>
  <c r="H14" i="22"/>
  <c r="G14" i="22"/>
  <c r="F14" i="22"/>
  <c r="E14" i="22"/>
  <c r="B14" i="22"/>
  <c r="A14" i="22"/>
  <c r="C14" i="22" s="1"/>
  <c r="H13" i="22"/>
  <c r="G13" i="22"/>
  <c r="F13" i="22"/>
  <c r="E13" i="22"/>
  <c r="A13" i="22"/>
  <c r="B13" i="22"/>
  <c r="H18" i="10"/>
  <c r="G18" i="10"/>
  <c r="F18" i="10"/>
  <c r="E18" i="10"/>
  <c r="B18" i="10"/>
  <c r="A18" i="10"/>
  <c r="H17" i="10"/>
  <c r="G17" i="10"/>
  <c r="F17" i="10"/>
  <c r="E17" i="10"/>
  <c r="B17" i="10"/>
  <c r="A17" i="10"/>
  <c r="H16" i="10"/>
  <c r="G16" i="10"/>
  <c r="F16" i="10"/>
  <c r="E16" i="10"/>
  <c r="B16" i="10"/>
  <c r="A16" i="10"/>
  <c r="H15" i="10"/>
  <c r="G15" i="10"/>
  <c r="F15" i="10"/>
  <c r="E15" i="10"/>
  <c r="B15" i="10"/>
  <c r="A15" i="10"/>
  <c r="H14" i="10"/>
  <c r="G14" i="10"/>
  <c r="F14" i="10"/>
  <c r="E14" i="10"/>
  <c r="B14" i="10"/>
  <c r="A14" i="10"/>
  <c r="H13" i="10"/>
  <c r="G13" i="10"/>
  <c r="F13" i="10"/>
  <c r="E13" i="10"/>
  <c r="B13" i="10"/>
  <c r="A13" i="10"/>
  <c r="H12" i="10"/>
  <c r="G12" i="10"/>
  <c r="E12" i="10"/>
  <c r="B12" i="10"/>
  <c r="I18" i="10" l="1"/>
  <c r="C18" i="22"/>
  <c r="I22" i="22"/>
  <c r="J19" i="22"/>
  <c r="J21" i="22"/>
  <c r="I13" i="22"/>
  <c r="I17" i="10"/>
  <c r="J13" i="10"/>
  <c r="I14" i="10"/>
  <c r="C16" i="10"/>
  <c r="J17" i="10"/>
  <c r="J13" i="22"/>
  <c r="J15" i="22"/>
  <c r="J17" i="22"/>
  <c r="D14" i="22"/>
  <c r="I13" i="10"/>
  <c r="D15" i="10"/>
  <c r="I15" i="10"/>
  <c r="C18" i="10"/>
  <c r="K18" i="10" s="1"/>
  <c r="J14" i="22"/>
  <c r="J16" i="22"/>
  <c r="J18" i="22"/>
  <c r="J20" i="22"/>
  <c r="J22" i="22"/>
  <c r="I19" i="22"/>
  <c r="C15" i="22"/>
  <c r="D15" i="22" s="1"/>
  <c r="I15" i="22"/>
  <c r="D18" i="10"/>
  <c r="D17" i="10"/>
  <c r="J16" i="10"/>
  <c r="D16" i="10"/>
  <c r="C15" i="10"/>
  <c r="J15" i="10"/>
  <c r="D14" i="10"/>
  <c r="J14" i="10"/>
  <c r="D13" i="10"/>
  <c r="L13" i="10" s="1"/>
  <c r="C13" i="10"/>
  <c r="D16" i="22"/>
  <c r="C22" i="22"/>
  <c r="D22" i="22" s="1"/>
  <c r="I21" i="22"/>
  <c r="I14" i="22"/>
  <c r="K14" i="22" s="1"/>
  <c r="C17" i="22"/>
  <c r="D17" i="22" s="1"/>
  <c r="L17" i="22" s="1"/>
  <c r="I17" i="22"/>
  <c r="C19" i="22"/>
  <c r="D19" i="22" s="1"/>
  <c r="L19" i="22" s="1"/>
  <c r="C21" i="22"/>
  <c r="D21" i="22" s="1"/>
  <c r="C13" i="22"/>
  <c r="D20" i="22"/>
  <c r="I20" i="22"/>
  <c r="K20" i="22" s="1"/>
  <c r="D18" i="22"/>
  <c r="K18" i="22"/>
  <c r="K16" i="22"/>
  <c r="J18" i="10"/>
  <c r="C17" i="10"/>
  <c r="I16" i="10"/>
  <c r="C14" i="10"/>
  <c r="C12" i="10"/>
  <c r="D12" i="10"/>
  <c r="T19" i="24"/>
  <c r="R19" i="24"/>
  <c r="T18" i="24"/>
  <c r="R18" i="24"/>
  <c r="T17" i="24"/>
  <c r="R17" i="24"/>
  <c r="T16" i="24"/>
  <c r="R16" i="24"/>
  <c r="T15" i="24"/>
  <c r="R15" i="24"/>
  <c r="T14" i="24"/>
  <c r="R14" i="24"/>
  <c r="T13" i="24"/>
  <c r="R13" i="24"/>
  <c r="T12" i="24"/>
  <c r="R12" i="24"/>
  <c r="T11" i="24"/>
  <c r="R11" i="24"/>
  <c r="R10" i="24"/>
  <c r="L15" i="10" l="1"/>
  <c r="L15" i="22"/>
  <c r="L21" i="22"/>
  <c r="L18" i="22"/>
  <c r="K22" i="22"/>
  <c r="L18" i="10"/>
  <c r="K17" i="10"/>
  <c r="L22" i="22"/>
  <c r="K15" i="10"/>
  <c r="L14" i="22"/>
  <c r="L16" i="22"/>
  <c r="K13" i="10"/>
  <c r="K14" i="10"/>
  <c r="K16" i="10"/>
  <c r="L14" i="10"/>
  <c r="L17" i="10"/>
  <c r="L20" i="22"/>
  <c r="K17" i="22"/>
  <c r="K15" i="22"/>
  <c r="K21" i="22"/>
  <c r="L16" i="10"/>
  <c r="K19" i="22"/>
  <c r="K13" i="22"/>
  <c r="D13" i="22"/>
  <c r="L13" i="22" s="1"/>
  <c r="L19" i="24"/>
  <c r="U19" i="24" s="1"/>
  <c r="L18" i="24"/>
  <c r="U18" i="24" s="1"/>
  <c r="L17" i="24"/>
  <c r="U17" i="24" s="1"/>
  <c r="L16" i="24"/>
  <c r="U16" i="24" s="1"/>
  <c r="L15" i="24"/>
  <c r="U15" i="24" s="1"/>
  <c r="L14" i="24"/>
  <c r="U14" i="24" s="1"/>
  <c r="U13" i="24"/>
  <c r="U12" i="24"/>
  <c r="U11" i="24"/>
  <c r="U10" i="24"/>
  <c r="J19" i="24"/>
  <c r="J18" i="24"/>
  <c r="J17" i="24"/>
  <c r="J16" i="24"/>
  <c r="J15" i="24"/>
  <c r="J14" i="24"/>
  <c r="A19" i="24"/>
  <c r="A18" i="24"/>
  <c r="A17" i="24"/>
  <c r="A16" i="24"/>
  <c r="A15" i="24"/>
  <c r="A14" i="24"/>
  <c r="A13" i="24"/>
  <c r="A12" i="24"/>
  <c r="A11" i="24"/>
  <c r="S13" i="24" l="1"/>
  <c r="V13" i="24" s="1"/>
  <c r="S17" i="24"/>
  <c r="V17" i="24" s="1"/>
  <c r="S12" i="24"/>
  <c r="V12" i="24" s="1"/>
  <c r="S16" i="24"/>
  <c r="V16" i="24" s="1"/>
  <c r="S11" i="24"/>
  <c r="V11" i="24" s="1"/>
  <c r="S15" i="24"/>
  <c r="V15" i="24" s="1"/>
  <c r="S19" i="24"/>
  <c r="V19" i="24" s="1"/>
  <c r="S10" i="24"/>
  <c r="V10" i="24" s="1"/>
  <c r="S14" i="24"/>
  <c r="V14" i="24" s="1"/>
  <c r="S18" i="24"/>
  <c r="V18" i="24" s="1"/>
  <c r="T19" i="23"/>
  <c r="R19" i="23"/>
  <c r="L19" i="23"/>
  <c r="J19" i="23"/>
  <c r="A19" i="23"/>
  <c r="T18" i="23"/>
  <c r="R18" i="23"/>
  <c r="L18" i="23"/>
  <c r="J18" i="23"/>
  <c r="A18" i="23"/>
  <c r="T17" i="23"/>
  <c r="R17" i="23"/>
  <c r="L17" i="23"/>
  <c r="J17" i="23"/>
  <c r="A17" i="23"/>
  <c r="T16" i="23"/>
  <c r="R16" i="23"/>
  <c r="L16" i="23"/>
  <c r="J16" i="23"/>
  <c r="A16" i="23"/>
  <c r="T15" i="23"/>
  <c r="R15" i="23"/>
  <c r="L15" i="23"/>
  <c r="J15" i="23"/>
  <c r="A15" i="23"/>
  <c r="T14" i="23"/>
  <c r="R14" i="23"/>
  <c r="L14" i="23"/>
  <c r="J14" i="23"/>
  <c r="A14" i="23"/>
  <c r="T13" i="23"/>
  <c r="R13" i="23"/>
  <c r="L13" i="23"/>
  <c r="J13" i="23"/>
  <c r="A13" i="23"/>
  <c r="T12" i="23"/>
  <c r="R12" i="23"/>
  <c r="J12" i="23"/>
  <c r="A12" i="23"/>
  <c r="T11" i="23"/>
  <c r="R11" i="23"/>
  <c r="L11" i="23"/>
  <c r="A11" i="23"/>
  <c r="T10" i="23"/>
  <c r="R10" i="23"/>
  <c r="L10" i="23"/>
  <c r="H7" i="13"/>
  <c r="H6" i="13"/>
  <c r="H5" i="13"/>
  <c r="H4" i="13"/>
  <c r="G19" i="13"/>
  <c r="G18" i="13"/>
  <c r="G17" i="13"/>
  <c r="G16" i="13"/>
  <c r="G15" i="13"/>
  <c r="G14" i="13"/>
  <c r="G13" i="13"/>
  <c r="G12" i="13"/>
  <c r="G11" i="13"/>
  <c r="G10" i="13"/>
  <c r="G9" i="13"/>
  <c r="G8" i="13"/>
  <c r="G7" i="13"/>
  <c r="G6" i="13"/>
  <c r="G5" i="13"/>
  <c r="G4" i="13"/>
  <c r="S10" i="23" l="1"/>
  <c r="U20" i="24"/>
  <c r="S15" i="23"/>
  <c r="S19" i="23"/>
  <c r="S18" i="23"/>
  <c r="S17" i="23"/>
  <c r="S16" i="23"/>
  <c r="S12" i="23"/>
  <c r="S14" i="23"/>
  <c r="S13" i="23"/>
  <c r="S11" i="23"/>
  <c r="U12" i="23"/>
  <c r="U19" i="23"/>
  <c r="U18" i="23"/>
  <c r="U17" i="23"/>
  <c r="U16" i="23"/>
  <c r="U15" i="23"/>
  <c r="U14" i="23"/>
  <c r="U13" i="23"/>
  <c r="U11" i="23"/>
  <c r="U10" i="23"/>
  <c r="V19" i="23" l="1"/>
  <c r="V12" i="23"/>
  <c r="V11" i="23"/>
  <c r="V16" i="23"/>
  <c r="V15" i="23"/>
  <c r="V13" i="23"/>
  <c r="V17" i="23"/>
  <c r="V14" i="23"/>
  <c r="V18" i="23"/>
  <c r="V10" i="23"/>
  <c r="D9" i="24"/>
  <c r="F12" i="10" l="1"/>
  <c r="C3" i="11"/>
  <c r="C4" i="11"/>
  <c r="D4" i="11"/>
  <c r="C47" i="11"/>
  <c r="C48" i="11"/>
  <c r="C50" i="11"/>
  <c r="J50" i="11"/>
  <c r="C51" i="11"/>
  <c r="B2" i="25"/>
  <c r="L3" i="25"/>
  <c r="B4" i="25"/>
  <c r="B5" i="25"/>
  <c r="C13" i="25"/>
  <c r="D13" i="25"/>
  <c r="F13" i="25"/>
  <c r="G13" i="25"/>
  <c r="H13" i="25"/>
  <c r="I13" i="25"/>
  <c r="J13" i="25"/>
  <c r="K13" i="25"/>
  <c r="A14" i="25"/>
  <c r="C14" i="25"/>
  <c r="D14" i="25"/>
  <c r="F14" i="25"/>
  <c r="G14" i="25"/>
  <c r="H14" i="25"/>
  <c r="I14" i="25"/>
  <c r="J14" i="25"/>
  <c r="K14" i="25"/>
  <c r="A15" i="25"/>
  <c r="C15" i="25"/>
  <c r="D15" i="25"/>
  <c r="F15" i="25"/>
  <c r="G15" i="25"/>
  <c r="H15" i="25"/>
  <c r="I15" i="25"/>
  <c r="J15" i="25"/>
  <c r="K15" i="25"/>
  <c r="A16" i="25"/>
  <c r="C16" i="25"/>
  <c r="D16" i="25"/>
  <c r="F16" i="25"/>
  <c r="G16" i="25"/>
  <c r="H16" i="25"/>
  <c r="I16" i="25"/>
  <c r="J16" i="25"/>
  <c r="K16" i="25"/>
  <c r="A17" i="25"/>
  <c r="C17" i="25"/>
  <c r="D17" i="25"/>
  <c r="F17" i="25"/>
  <c r="G17" i="25"/>
  <c r="H17" i="25"/>
  <c r="I17" i="25"/>
  <c r="J17" i="25"/>
  <c r="K17" i="25"/>
  <c r="A18" i="25"/>
  <c r="C18" i="25"/>
  <c r="D18" i="25"/>
  <c r="F18" i="25"/>
  <c r="G18" i="25"/>
  <c r="H18" i="25"/>
  <c r="I18" i="25"/>
  <c r="J18" i="25"/>
  <c r="K18" i="25"/>
  <c r="A19" i="25"/>
  <c r="C19" i="25"/>
  <c r="D19" i="25"/>
  <c r="F19" i="25"/>
  <c r="G19" i="25"/>
  <c r="H19" i="25"/>
  <c r="I19" i="25"/>
  <c r="J19" i="25"/>
  <c r="K19" i="25"/>
  <c r="A20" i="25"/>
  <c r="C20" i="25"/>
  <c r="D20" i="25"/>
  <c r="F20" i="25"/>
  <c r="G20" i="25"/>
  <c r="H20" i="25"/>
  <c r="I20" i="25"/>
  <c r="J20" i="25"/>
  <c r="K20" i="25"/>
  <c r="A21" i="25"/>
  <c r="C21" i="25"/>
  <c r="D21" i="25"/>
  <c r="F21" i="25"/>
  <c r="G21" i="25"/>
  <c r="H21" i="25"/>
  <c r="I21" i="25"/>
  <c r="J21" i="25"/>
  <c r="K21" i="25"/>
  <c r="A22" i="25"/>
  <c r="C22" i="25"/>
  <c r="D22" i="25"/>
  <c r="F22" i="25"/>
  <c r="G22" i="25"/>
  <c r="H22" i="25"/>
  <c r="I22" i="25"/>
  <c r="J22" i="25"/>
  <c r="K22" i="25"/>
  <c r="B2" i="22"/>
  <c r="B4" i="22"/>
  <c r="B5" i="22"/>
  <c r="B2" i="10"/>
  <c r="L3" i="10"/>
  <c r="B4" i="10"/>
  <c r="B5" i="10"/>
  <c r="B13" i="25"/>
  <c r="B14" i="25"/>
  <c r="B15" i="25"/>
  <c r="B16" i="25"/>
  <c r="B17" i="25"/>
  <c r="B18" i="25"/>
  <c r="B19" i="25"/>
  <c r="B20" i="25"/>
  <c r="B21" i="25"/>
  <c r="B22" i="25"/>
  <c r="A6" i="3"/>
  <c r="B8" i="3"/>
  <c r="I9" i="3"/>
  <c r="J9" i="3"/>
  <c r="Q9" i="3" s="1"/>
  <c r="S9" i="3" s="1"/>
  <c r="O9" i="3"/>
  <c r="P9" i="3" s="1"/>
  <c r="R9" i="3"/>
  <c r="I10" i="3"/>
  <c r="J10" i="3"/>
  <c r="Q10" i="3" s="1"/>
  <c r="O10" i="3"/>
  <c r="P10" i="3" s="1"/>
  <c r="R10" i="3"/>
  <c r="I11" i="3"/>
  <c r="J11" i="3"/>
  <c r="O11" i="3"/>
  <c r="P11" i="3" s="1"/>
  <c r="T11" i="3" s="1"/>
  <c r="Q11" i="3"/>
  <c r="S11" i="3" s="1"/>
  <c r="R11" i="3"/>
  <c r="I12" i="3"/>
  <c r="J12" i="3"/>
  <c r="O12" i="3"/>
  <c r="P12" i="3" s="1"/>
  <c r="Q12" i="3"/>
  <c r="R12" i="3"/>
  <c r="I13" i="3"/>
  <c r="J13" i="3"/>
  <c r="O13" i="3"/>
  <c r="P13" i="3" s="1"/>
  <c r="Q13" i="3"/>
  <c r="R13" i="3"/>
  <c r="I14" i="3"/>
  <c r="J14" i="3"/>
  <c r="O14" i="3"/>
  <c r="P14" i="3" s="1"/>
  <c r="Q14" i="3"/>
  <c r="R14" i="3"/>
  <c r="I15" i="3"/>
  <c r="J15" i="3"/>
  <c r="O15" i="3"/>
  <c r="P15" i="3" s="1"/>
  <c r="Q15" i="3"/>
  <c r="R15" i="3"/>
  <c r="I16" i="3"/>
  <c r="J16" i="3"/>
  <c r="O16" i="3"/>
  <c r="P16" i="3" s="1"/>
  <c r="Q16" i="3"/>
  <c r="R16" i="3"/>
  <c r="I17" i="3"/>
  <c r="J17" i="3"/>
  <c r="O17" i="3"/>
  <c r="P17" i="3" s="1"/>
  <c r="Q17" i="3"/>
  <c r="R17" i="3"/>
  <c r="I18" i="3"/>
  <c r="J18" i="3"/>
  <c r="O18" i="3"/>
  <c r="P18" i="3" s="1"/>
  <c r="Q18" i="3"/>
  <c r="R18" i="3"/>
  <c r="D9" i="23"/>
  <c r="S10" i="3" l="1"/>
  <c r="S17" i="3"/>
  <c r="S15" i="3"/>
  <c r="T15" i="3" s="1"/>
  <c r="S16" i="3"/>
  <c r="S14" i="3"/>
  <c r="S18" i="3"/>
  <c r="T18" i="3" s="1"/>
  <c r="S13" i="3"/>
  <c r="T14" i="3"/>
  <c r="S12" i="3"/>
  <c r="T17" i="3"/>
  <c r="T13" i="3"/>
  <c r="T16" i="3"/>
  <c r="T12" i="3"/>
  <c r="T10" i="3"/>
  <c r="T9" i="3"/>
  <c r="M13" i="10"/>
  <c r="M18" i="10"/>
  <c r="M14" i="10"/>
  <c r="M15" i="10"/>
  <c r="M17" i="10"/>
  <c r="M16" i="10"/>
  <c r="M14" i="22"/>
  <c r="M19" i="22"/>
  <c r="M16" i="22"/>
  <c r="M22" i="22"/>
  <c r="M15" i="22"/>
  <c r="M18" i="22"/>
  <c r="M21" i="22"/>
  <c r="M20" i="22"/>
  <c r="M17" i="22"/>
  <c r="M13" i="22"/>
  <c r="J12" i="10"/>
  <c r="L12" i="10" s="1"/>
  <c r="M12" i="10" s="1"/>
  <c r="I12" i="10"/>
  <c r="K12" i="10" s="1"/>
  <c r="C21" i="10"/>
  <c r="M21" i="25"/>
  <c r="M19" i="25"/>
  <c r="M17" i="25"/>
  <c r="M15" i="25"/>
  <c r="M13" i="25"/>
  <c r="E21" i="25"/>
  <c r="E15" i="25"/>
  <c r="L22" i="25"/>
  <c r="L18" i="25"/>
  <c r="L21" i="25"/>
  <c r="L17" i="25"/>
  <c r="E19" i="25"/>
  <c r="E14" i="25"/>
  <c r="E13" i="25"/>
  <c r="M22" i="25"/>
  <c r="M20" i="25"/>
  <c r="M18" i="25"/>
  <c r="M16" i="25"/>
  <c r="E18" i="25"/>
  <c r="E17" i="25"/>
  <c r="L19" i="25"/>
  <c r="L15" i="25"/>
  <c r="E22" i="25"/>
  <c r="E16" i="25"/>
  <c r="L20" i="25"/>
  <c r="L16" i="25"/>
  <c r="L14" i="25"/>
  <c r="E20" i="25"/>
  <c r="I25" i="25"/>
  <c r="M14" i="25"/>
  <c r="L13" i="25"/>
  <c r="C25" i="25"/>
  <c r="I25" i="22"/>
  <c r="C25" i="22"/>
  <c r="T18" i="2"/>
  <c r="T19" i="3" l="1"/>
  <c r="I29" i="25"/>
  <c r="I29" i="22"/>
  <c r="I21" i="10"/>
  <c r="I25" i="10" s="1"/>
  <c r="N21" i="25"/>
  <c r="O21" i="25" s="1"/>
  <c r="N15" i="25"/>
  <c r="O15" i="25" s="1"/>
  <c r="J25" i="22"/>
  <c r="J26" i="22" s="1"/>
  <c r="N18" i="25"/>
  <c r="O18" i="25" s="1"/>
  <c r="N13" i="25"/>
  <c r="O13" i="25" s="1"/>
  <c r="N20" i="25"/>
  <c r="O20" i="25" s="1"/>
  <c r="N19" i="25"/>
  <c r="O19" i="25" s="1"/>
  <c r="N17" i="25"/>
  <c r="O17" i="25" s="1"/>
  <c r="N22" i="25"/>
  <c r="O22" i="25" s="1"/>
  <c r="N16" i="25"/>
  <c r="O16" i="25" s="1"/>
  <c r="N14" i="25"/>
  <c r="O14" i="25" s="1"/>
  <c r="J25" i="25"/>
  <c r="J26" i="25" s="1"/>
  <c r="D25" i="25"/>
  <c r="D25" i="22"/>
  <c r="D26" i="22" s="1"/>
  <c r="D8" i="11"/>
  <c r="J21" i="10"/>
  <c r="D21" i="10"/>
  <c r="E8" i="11" l="1"/>
  <c r="F8" i="11" s="1"/>
  <c r="J30" i="22"/>
  <c r="J29" i="25"/>
  <c r="D26" i="25"/>
  <c r="J30" i="25" s="1"/>
  <c r="J29" i="22"/>
  <c r="D9" i="11"/>
  <c r="J25" i="10"/>
  <c r="D22" i="10"/>
  <c r="E9" i="11"/>
  <c r="J22" i="10"/>
  <c r="E7" i="11" s="1"/>
  <c r="F9" i="11" l="1"/>
  <c r="E37" i="11" s="1"/>
  <c r="C40" i="11" s="1"/>
  <c r="C41" i="11" s="1"/>
  <c r="D7" i="11"/>
  <c r="F7" i="11" s="1"/>
  <c r="F12" i="11" s="1"/>
  <c r="J26" i="10"/>
  <c r="F30" i="11" s="1"/>
  <c r="C42" i="11" l="1"/>
  <c r="F13" i="11"/>
  <c r="F14" i="11" s="1"/>
  <c r="F15" i="11" s="1"/>
  <c r="F16" i="11" s="1"/>
  <c r="F17" i="11" s="1"/>
  <c r="F18" i="11" s="1"/>
  <c r="F19" i="11" s="1"/>
  <c r="F20" i="11" s="1"/>
  <c r="F21" i="11" s="1"/>
  <c r="D12" i="11"/>
  <c r="D13" i="11" l="1"/>
  <c r="D14" i="11" s="1"/>
  <c r="D15" i="11" s="1"/>
  <c r="D16" i="11" s="1"/>
  <c r="U20" i="23" l="1"/>
  <c r="F28" i="11" s="1"/>
  <c r="F29" i="11" s="1"/>
  <c r="F32" i="11" l="1"/>
  <c r="F31" i="11"/>
  <c r="F11"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Kelly Lady</author>
    <author>Roger Warehime</author>
  </authors>
  <commentList>
    <comment ref="B9" authorId="0" shapeId="0" xr:uid="{00000000-0006-0000-0100-000001000000}">
      <text>
        <r>
          <rPr>
            <b/>
            <sz val="8"/>
            <color indexed="81"/>
            <rFont val="Tahoma"/>
            <family val="2"/>
          </rPr>
          <t>Kelly Lady:</t>
        </r>
        <r>
          <rPr>
            <sz val="8"/>
            <color indexed="81"/>
            <rFont val="Tahoma"/>
            <family val="2"/>
          </rPr>
          <t xml:space="preserve">
This sheet asks for general information about the customer and contractor.  Fields that accept data are shaded yellow.  The tab key can be used to move forward from one field to the next.  Holding the shift key will pressing the tab key will move backward from one field to the previous field.
The customer’s business name and installation address are pulled from this sheet and displayed on the Financial Summary sheet.  The contractor name, address, and contact information are also pulled from this sheet and displayed on the Financial Summary sheet.
Check-boxes can be selected or deselected using the mouse.</t>
        </r>
      </text>
    </comment>
    <comment ref="B10" authorId="1" shapeId="0" xr:uid="{00000000-0006-0000-0100-000002000000}">
      <text>
        <r>
          <rPr>
            <b/>
            <sz val="8"/>
            <color indexed="81"/>
            <rFont val="Tahoma"/>
            <family val="2"/>
          </rPr>
          <t>Use TAB key to move from field to field</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Roger Warehime</author>
  </authors>
  <commentList>
    <comment ref="J3" authorId="0" shapeId="0" xr:uid="{00000000-0006-0000-0600-000001000000}">
      <text>
        <r>
          <rPr>
            <b/>
            <sz val="8"/>
            <color indexed="81"/>
            <rFont val="Tahoma"/>
            <family val="2"/>
          </rPr>
          <t>Enter Demand Rate ($/kW) here.</t>
        </r>
      </text>
    </comment>
    <comment ref="K3" authorId="0" shapeId="0" xr:uid="{00000000-0006-0000-0600-000002000000}">
      <text>
        <r>
          <rPr>
            <b/>
            <sz val="8"/>
            <color indexed="81"/>
            <rFont val="Tahoma"/>
            <family val="2"/>
          </rPr>
          <t>Enter Energy rate ($/kWh) here.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Roger Warehime</author>
  </authors>
  <commentList>
    <comment ref="J3" authorId="0" shapeId="0" xr:uid="{00000000-0006-0000-0800-000001000000}">
      <text>
        <r>
          <rPr>
            <b/>
            <sz val="8"/>
            <color indexed="81"/>
            <rFont val="Tahoma"/>
            <family val="2"/>
          </rPr>
          <t>Enter Demand Rate ($/kW) here.</t>
        </r>
      </text>
    </comment>
    <comment ref="K3" authorId="0" shapeId="0" xr:uid="{00000000-0006-0000-0800-000002000000}">
      <text>
        <r>
          <rPr>
            <b/>
            <sz val="8"/>
            <color indexed="81"/>
            <rFont val="Tahoma"/>
            <family val="2"/>
          </rPr>
          <t>Enter Energy rate ($/kWh) here.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Roger Warehime</author>
  </authors>
  <commentList>
    <comment ref="J3" authorId="0" shapeId="0" xr:uid="{00000000-0006-0000-0900-000001000000}">
      <text>
        <r>
          <rPr>
            <b/>
            <sz val="8"/>
            <color indexed="81"/>
            <rFont val="Tahoma"/>
            <family val="2"/>
          </rPr>
          <t>Enter Demand Rate ($/kW) here.</t>
        </r>
      </text>
    </comment>
    <comment ref="K3" authorId="0" shapeId="0" xr:uid="{00000000-0006-0000-0900-000002000000}">
      <text>
        <r>
          <rPr>
            <b/>
            <sz val="8"/>
            <color indexed="81"/>
            <rFont val="Tahoma"/>
            <family val="2"/>
          </rPr>
          <t>Enter Energy rate ($/kWh) here.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Roger Warehime</author>
  </authors>
  <commentList>
    <comment ref="J3" authorId="0" shapeId="0" xr:uid="{00000000-0006-0000-0A00-000001000000}">
      <text>
        <r>
          <rPr>
            <b/>
            <sz val="8"/>
            <color indexed="81"/>
            <rFont val="Tahoma"/>
            <family val="2"/>
          </rPr>
          <t>Enter Demand Rate ($/kW) here.</t>
        </r>
      </text>
    </comment>
    <comment ref="K3" authorId="0" shapeId="0" xr:uid="{00000000-0006-0000-0A00-000002000000}">
      <text>
        <r>
          <rPr>
            <b/>
            <sz val="8"/>
            <color indexed="81"/>
            <rFont val="Tahoma"/>
            <family val="2"/>
          </rPr>
          <t>Enter Energy rate ($/kWh) here.</t>
        </r>
      </text>
    </comment>
  </commentList>
</comments>
</file>

<file path=xl/sharedStrings.xml><?xml version="1.0" encoding="utf-8"?>
<sst xmlns="http://schemas.openxmlformats.org/spreadsheetml/2006/main" count="1040" uniqueCount="547">
  <si>
    <t>Company Name</t>
  </si>
  <si>
    <t>Installation Address</t>
  </si>
  <si>
    <t>City</t>
  </si>
  <si>
    <t>State</t>
  </si>
  <si>
    <t>Zip Code</t>
  </si>
  <si>
    <t>Mailing Address (if different from above)</t>
  </si>
  <si>
    <t xml:space="preserve">Account Number </t>
  </si>
  <si>
    <t>Contact Name</t>
  </si>
  <si>
    <t>Daytime Phone Number</t>
  </si>
  <si>
    <t>Email</t>
  </si>
  <si>
    <t>Customer's Signature</t>
  </si>
  <si>
    <t xml:space="preserve">Date </t>
  </si>
  <si>
    <t>Address</t>
  </si>
  <si>
    <t>NEW SYSTEM</t>
  </si>
  <si>
    <t xml:space="preserve">REBATE  </t>
  </si>
  <si>
    <t>A</t>
  </si>
  <si>
    <t>B</t>
  </si>
  <si>
    <t>C</t>
  </si>
  <si>
    <t>D</t>
  </si>
  <si>
    <t>E</t>
  </si>
  <si>
    <t>F</t>
  </si>
  <si>
    <t>G</t>
  </si>
  <si>
    <t>H</t>
  </si>
  <si>
    <t>I</t>
  </si>
  <si>
    <t>J</t>
  </si>
  <si>
    <t>K</t>
  </si>
  <si>
    <t>L</t>
  </si>
  <si>
    <t>M</t>
  </si>
  <si>
    <t>N</t>
  </si>
  <si>
    <t>O</t>
  </si>
  <si>
    <t>P</t>
  </si>
  <si>
    <t>Q</t>
  </si>
  <si>
    <t>R</t>
  </si>
  <si>
    <t>S</t>
  </si>
  <si>
    <t>Qty.</t>
  </si>
  <si>
    <t>Model Number</t>
  </si>
  <si>
    <t>Equipment Cost</t>
  </si>
  <si>
    <t>TOTAL</t>
  </si>
  <si>
    <t>TABLE 1 - QUALIFYING EFFICIENCIES AND REBATE SCHEDULE</t>
  </si>
  <si>
    <t>TABLE 2 - GUIDELINES FOR COOLING HOURS</t>
  </si>
  <si>
    <t>Unit Code</t>
  </si>
  <si>
    <t>Qualifying
Equipment</t>
  </si>
  <si>
    <t>Base Rebate $/Ton</t>
  </si>
  <si>
    <t>Business
Segment</t>
  </si>
  <si>
    <t>Estimated Hours
(Southern MN)</t>
  </si>
  <si>
    <r>
      <t xml:space="preserve">Unit Size </t>
    </r>
    <r>
      <rPr>
        <i/>
        <sz val="8"/>
        <rFont val="Arial"/>
        <family val="2"/>
      </rPr>
      <t>(Tons)</t>
    </r>
  </si>
  <si>
    <t>TABLE 3 - QUALIFYING EFFICIENCIES AND REBATE SCHEDULE</t>
  </si>
  <si>
    <t>Qualifying Equipment           (Water or Air Cooled)</t>
  </si>
  <si>
    <t>C-1</t>
  </si>
  <si>
    <t>C-2</t>
  </si>
  <si>
    <t>C-3</t>
  </si>
  <si>
    <t>C-4</t>
  </si>
  <si>
    <t>C-5</t>
  </si>
  <si>
    <t>C-6</t>
  </si>
  <si>
    <r>
      <t>Note:</t>
    </r>
    <r>
      <rPr>
        <sz val="8"/>
        <rFont val="Arial"/>
        <family val="2"/>
      </rPr>
      <t xml:space="preserve">  Qualifying chillers must meet ARI 550 Standard.  </t>
    </r>
    <r>
      <rPr>
        <b/>
        <sz val="8"/>
        <rFont val="Arial"/>
        <family val="2"/>
      </rPr>
      <t>A copy of the manufacturer's applicable unit rating must accompany this application.</t>
    </r>
  </si>
  <si>
    <r>
      <t xml:space="preserve">Unit Code </t>
    </r>
    <r>
      <rPr>
        <i/>
        <sz val="8"/>
        <rFont val="Arial"/>
        <family val="2"/>
      </rPr>
      <t>(Table 3)</t>
    </r>
  </si>
  <si>
    <r>
      <t xml:space="preserve">Unit Size
</t>
    </r>
    <r>
      <rPr>
        <i/>
        <sz val="8"/>
        <rFont val="Arial"/>
        <family val="2"/>
      </rPr>
      <t>(Tons)</t>
    </r>
  </si>
  <si>
    <r>
      <t xml:space="preserve">Minimum Efficiency
</t>
    </r>
    <r>
      <rPr>
        <i/>
        <sz val="8"/>
        <rFont val="Arial"/>
        <family val="2"/>
      </rPr>
      <t>(Table 3)</t>
    </r>
  </si>
  <si>
    <r>
      <t xml:space="preserve">Actual kW/Ton </t>
    </r>
    <r>
      <rPr>
        <i/>
        <sz val="8"/>
        <rFont val="Arial"/>
        <family val="2"/>
      </rPr>
      <t>(see Note)</t>
    </r>
  </si>
  <si>
    <r>
      <t xml:space="preserve">Annual Hours of Operation
</t>
    </r>
    <r>
      <rPr>
        <i/>
        <sz val="8"/>
        <rFont val="Arial"/>
        <family val="2"/>
      </rPr>
      <t>(Table 4)</t>
    </r>
  </si>
  <si>
    <r>
      <t xml:space="preserve">Base Rebate $/Ton </t>
    </r>
    <r>
      <rPr>
        <i/>
        <sz val="8"/>
        <rFont val="Arial"/>
        <family val="2"/>
      </rPr>
      <t>(Table3)</t>
    </r>
  </si>
  <si>
    <r>
      <t>Base Rebate</t>
    </r>
    <r>
      <rPr>
        <sz val="8"/>
        <rFont val="Arial"/>
        <family val="2"/>
      </rPr>
      <t xml:space="preserve">       </t>
    </r>
    <r>
      <rPr>
        <i/>
        <sz val="8"/>
        <rFont val="Arial"/>
        <family val="2"/>
      </rPr>
      <t>(H x K x N)</t>
    </r>
  </si>
  <si>
    <r>
      <t xml:space="preserve">Eligible Efficiency Bonus
</t>
    </r>
    <r>
      <rPr>
        <i/>
        <sz val="8"/>
        <rFont val="Arial"/>
        <family val="2"/>
      </rPr>
      <t xml:space="preserve">(I - J) </t>
    </r>
  </si>
  <si>
    <r>
      <t xml:space="preserve">Total                 Rebate                </t>
    </r>
    <r>
      <rPr>
        <i/>
        <sz val="8"/>
        <rFont val="Arial"/>
        <family val="2"/>
      </rPr>
      <t xml:space="preserve"> (O + R)</t>
    </r>
  </si>
  <si>
    <t>* Efficiency Bonus Rebate provides an additional incentive for each .01 kW per Ton below the Minimum Efficiency.</t>
  </si>
  <si>
    <t>Water-Cooled Centrifugal Chiller - Less than 150 Tons</t>
  </si>
  <si>
    <t>Water-Cooled Centrifugal Chiller - 150 to 200 Tons</t>
  </si>
  <si>
    <t>Water-Cooled Centrifugal Chiller - 300 Tons and Greater</t>
  </si>
  <si>
    <t>C-7</t>
  </si>
  <si>
    <t>The motors and/or variable speed drives in chiller units are not independently eligible for additional rebates offered under the Commercial High Efficiency Motor and Variable Speed Drive Rebate programs.</t>
  </si>
  <si>
    <r>
      <t xml:space="preserve">Bonus Rebate
</t>
    </r>
    <r>
      <rPr>
        <i/>
        <sz val="8"/>
        <rFont val="Arial"/>
        <family val="2"/>
      </rPr>
      <t>(P x Q) x 
(H x K) x 100</t>
    </r>
  </si>
  <si>
    <t>5.  REBATE INFORMATION - CENTRAL CHILLERS (please print)</t>
  </si>
  <si>
    <t>Date</t>
  </si>
  <si>
    <t>Initials</t>
  </si>
  <si>
    <t>Description of Changes</t>
  </si>
  <si>
    <t>Retrofit</t>
  </si>
  <si>
    <t>New Construction</t>
  </si>
  <si>
    <t>Demand</t>
  </si>
  <si>
    <t>Energy</t>
  </si>
  <si>
    <t>Rate</t>
  </si>
  <si>
    <t>SAVINGS</t>
  </si>
  <si>
    <t>Annual Hours of Operation</t>
  </si>
  <si>
    <t>kWh</t>
  </si>
  <si>
    <t>$</t>
  </si>
  <si>
    <t>ENERGY SAVINGS SUMMARY:</t>
  </si>
  <si>
    <t>Current System</t>
  </si>
  <si>
    <t>Proposed System</t>
  </si>
  <si>
    <t>Savings</t>
  </si>
  <si>
    <t>Annual Energy Cost</t>
  </si>
  <si>
    <t>Annual  kW</t>
  </si>
  <si>
    <t>Annual kWh</t>
  </si>
  <si>
    <t>Year 1</t>
  </si>
  <si>
    <t>Year 2</t>
  </si>
  <si>
    <t>Year 3</t>
  </si>
  <si>
    <t>Year 4</t>
  </si>
  <si>
    <t>Year 5</t>
  </si>
  <si>
    <t>Utility Rebate</t>
  </si>
  <si>
    <t>Simple Payback (years)</t>
  </si>
  <si>
    <t>ENVIRONMENTAL IMPACT:</t>
  </si>
  <si>
    <t>The project is estimated to reduce the emission of</t>
  </si>
  <si>
    <t xml:space="preserve">pounds of CO2 annually. </t>
  </si>
  <si>
    <t>This is equivalent to:</t>
  </si>
  <si>
    <t>gallons of gasoline not burned</t>
  </si>
  <si>
    <t>passenger cars removed from the roads for one year</t>
  </si>
  <si>
    <t>acres of trees planted</t>
  </si>
  <si>
    <t>Prepared by:</t>
  </si>
  <si>
    <t>($/kW)</t>
  </si>
  <si>
    <t>($/kWh)</t>
  </si>
  <si>
    <t>* Current Energy Prices:</t>
  </si>
  <si>
    <t>Summary Printed:</t>
  </si>
  <si>
    <t>&lt;8</t>
  </si>
  <si>
    <t>&gt; 16</t>
  </si>
  <si>
    <t>Advanced Distributor</t>
  </si>
  <si>
    <t>Tons</t>
  </si>
  <si>
    <t>Quantity</t>
  </si>
  <si>
    <t>Beutler Corp</t>
  </si>
  <si>
    <t>&lt;150</t>
  </si>
  <si>
    <t>Air - All</t>
  </si>
  <si>
    <t>Tons_2</t>
  </si>
  <si>
    <t xml:space="preserve">SEER_EER </t>
  </si>
  <si>
    <t>kw_ton</t>
  </si>
  <si>
    <t>&lt;5.4</t>
  </si>
  <si>
    <t>&gt;20.1</t>
  </si>
  <si>
    <t>OLD SYSTEM</t>
  </si>
  <si>
    <t>Old Equipment kW</t>
  </si>
  <si>
    <t>Old Equipment kWh</t>
  </si>
  <si>
    <t>New Equipment Description*</t>
  </si>
  <si>
    <t>New Equipment kW</t>
  </si>
  <si>
    <t>New Equipment kWh</t>
  </si>
  <si>
    <t>kW</t>
  </si>
  <si>
    <t>Project Type:</t>
  </si>
  <si>
    <t>SEER*</t>
  </si>
  <si>
    <t>Minimum  Efficiency</t>
  </si>
  <si>
    <t>EER*</t>
  </si>
  <si>
    <t>Manufacturer  Name</t>
  </si>
  <si>
    <t>kW per Ton</t>
  </si>
  <si>
    <t>Old Equipment SEER / EER</t>
  </si>
  <si>
    <t>Education - Secondary School</t>
  </si>
  <si>
    <t>Office</t>
  </si>
  <si>
    <t>Retail</t>
  </si>
  <si>
    <t>Education - University</t>
  </si>
  <si>
    <t>Baseline IPLV (kW/ton)</t>
  </si>
  <si>
    <t>High Efficiency IPLV (kW/ton)</t>
  </si>
  <si>
    <t>Education - Community College</t>
  </si>
  <si>
    <t>Health/Medical - Clinic</t>
  </si>
  <si>
    <t>Health/Medical - Hospital</t>
  </si>
  <si>
    <t xml:space="preserve">Lodging </t>
  </si>
  <si>
    <t>New Equipment  SEER / EER</t>
  </si>
  <si>
    <t>ESK</t>
  </si>
  <si>
    <t>Modified Customer Information form to use groups of "Radio buttons" for choice lists - forces user to choose just one.</t>
  </si>
  <si>
    <t>Changed validation for unit counts (existing and new) on both Rebate Information forms to allow any whole number =&gt;0</t>
  </si>
  <si>
    <t>Changed validation for EER/SEER columns on Rooftop form to allow any value.  Existing allows any value &gt;0.  Proposed allows any value &gt;= minimum value.</t>
  </si>
  <si>
    <t>Spelling errors in manufacturer list corrected.</t>
  </si>
  <si>
    <t>CMB</t>
  </si>
  <si>
    <t>(Cooling RTU/Chillers savings) Looks like some things are not filling in correctly and filling down correctly - Resolution- testing</t>
  </si>
  <si>
    <t>(Financial Summary) Pay back does not match SMMPA's database- Resolution- Review w/ Stephanie</t>
  </si>
  <si>
    <t>(Financial Summary) Do we want to add logo to this page?- Resolution- Attempt C&amp;S logo at top, and Triad logo on bottom</t>
  </si>
  <si>
    <t>(Overall) Need to adjust widths of columns - Resolution - Review and adjust.</t>
  </si>
  <si>
    <t>Efficiency Bonus Rebate*  $/IPLV</t>
  </si>
  <si>
    <r>
      <t xml:space="preserve">Bonus Rebate $/IPLV  </t>
    </r>
    <r>
      <rPr>
        <i/>
        <sz val="8"/>
        <rFont val="Arial"/>
        <family val="2"/>
      </rPr>
      <t>(Table 3)</t>
    </r>
  </si>
  <si>
    <t>0.74  FLV,           0.63  IPLV</t>
  </si>
  <si>
    <t>0.67  FLV,           0.58  IPLV</t>
  </si>
  <si>
    <t>0.59  FLV,           0.52  IPLV</t>
  </si>
  <si>
    <t>0.69  FLV,          0.65  IPLV</t>
  </si>
  <si>
    <t>0.62  FLV,          0.58  IPLV</t>
  </si>
  <si>
    <t>0.56  FLV,           0.53 IPLV</t>
  </si>
  <si>
    <t>Water-Cooled Screw/Scroll Chiller- Less than 150 Tons</t>
  </si>
  <si>
    <t>Water-Cooled Screw/Scroll Chiller - 150 to 299 Tons</t>
  </si>
  <si>
    <t>Water-Cooled Screw/Scroll Chiller - 300 Tons and Greater</t>
  </si>
  <si>
    <t>Air Cooled Chillers</t>
  </si>
  <si>
    <t>Please reference "Rebate Information (Rooftops)" for information on Air Cooled Chillers (EER)</t>
  </si>
  <si>
    <t>Heat Pump (ASHP,GSHP) Updates for 2010. Resolution- Need approval</t>
  </si>
  <si>
    <r>
      <t xml:space="preserve">(Terms and Conditions) These are dated and the paragraph spacing is off. Need to update… and also any rebate cap dollars. - Resolution- </t>
    </r>
    <r>
      <rPr>
        <sz val="11"/>
        <rFont val="Calibri"/>
        <family val="2"/>
      </rPr>
      <t>Kelly</t>
    </r>
    <r>
      <rPr>
        <sz val="11"/>
        <color indexed="8"/>
        <rFont val="Calibri"/>
        <family val="2"/>
      </rPr>
      <t xml:space="preserve"> to send newest form to E. Kakulis for incorporation.</t>
    </r>
  </si>
  <si>
    <t>Base IPLV (kW/ton)</t>
  </si>
  <si>
    <t>VMC</t>
  </si>
  <si>
    <t>Adjusted columns to fit all pages, enlarged pages so they are readable when printed and full space is utilized. Made a few other formatting changes to the front cover as well as terms and conditions</t>
  </si>
  <si>
    <t>Total Demand and Energy</t>
  </si>
  <si>
    <t>Annual Energy Cost - Old System</t>
  </si>
  <si>
    <t>Annual Energy Cost - New System</t>
  </si>
  <si>
    <t>Total Demand and Energy Savings</t>
  </si>
  <si>
    <t>Annual Energy Savings</t>
  </si>
  <si>
    <t>COOLING EQUIPMENT: Chiller</t>
  </si>
  <si>
    <r>
      <t xml:space="preserve">Minimum Efficiency </t>
    </r>
    <r>
      <rPr>
        <i/>
        <sz val="8"/>
        <rFont val="Arial"/>
        <family val="2"/>
      </rPr>
      <t>(kW/Ton)</t>
    </r>
  </si>
  <si>
    <t>TABLE 4 - GUIDELINES FOR COOLING HOURS</t>
  </si>
  <si>
    <t xml:space="preserve">SAVINGS INFORMATION - ROOFTOP and PACKAGE UNITS </t>
  </si>
  <si>
    <t>Install Address:</t>
  </si>
  <si>
    <t>Customer Name:</t>
  </si>
  <si>
    <t>Blended</t>
  </si>
  <si>
    <t>frwrfewrfs</t>
  </si>
  <si>
    <t>New Equipment  kW/Ton</t>
  </si>
  <si>
    <t>fdsw</t>
  </si>
  <si>
    <r>
      <t xml:space="preserve">Unit
Size
</t>
    </r>
    <r>
      <rPr>
        <i/>
        <sz val="8"/>
        <rFont val="Arial"/>
        <family val="2"/>
      </rPr>
      <t>(Tons)</t>
    </r>
  </si>
  <si>
    <r>
      <t xml:space="preserve">Unit
Code
</t>
    </r>
    <r>
      <rPr>
        <i/>
        <sz val="8"/>
        <rFont val="Arial"/>
        <family val="2"/>
      </rPr>
      <t>(Table 1)</t>
    </r>
  </si>
  <si>
    <t>Manufacturer
Name</t>
  </si>
  <si>
    <t>Model
Number</t>
  </si>
  <si>
    <t>AHRI
Ref
Number</t>
  </si>
  <si>
    <r>
      <t xml:space="preserve">Minimum
Efficiency
</t>
    </r>
    <r>
      <rPr>
        <i/>
        <sz val="8"/>
        <rFont val="Arial"/>
        <family val="2"/>
      </rPr>
      <t>(Table 1)</t>
    </r>
  </si>
  <si>
    <r>
      <t xml:space="preserve">Annual
Hours of
Operation
</t>
    </r>
    <r>
      <rPr>
        <i/>
        <sz val="8"/>
        <rFont val="Arial"/>
        <family val="2"/>
      </rPr>
      <t>(Table 2)</t>
    </r>
  </si>
  <si>
    <t>Equipment
Cost</t>
  </si>
  <si>
    <r>
      <t xml:space="preserve">Base
Rebate
$/Ton
</t>
    </r>
    <r>
      <rPr>
        <i/>
        <sz val="8"/>
        <rFont val="Arial"/>
        <family val="2"/>
      </rPr>
      <t>(Table1)</t>
    </r>
  </si>
  <si>
    <r>
      <t xml:space="preserve">Base
Rebate
</t>
    </r>
    <r>
      <rPr>
        <sz val="8"/>
        <rFont val="Arial"/>
        <family val="2"/>
      </rPr>
      <t>(G x K x N)</t>
    </r>
  </si>
  <si>
    <r>
      <t xml:space="preserve">Eligible
Efficiency
Bonus
</t>
    </r>
    <r>
      <rPr>
        <sz val="8"/>
        <rFont val="Arial"/>
        <family val="2"/>
      </rPr>
      <t xml:space="preserve">(J-I) </t>
    </r>
  </si>
  <si>
    <r>
      <t xml:space="preserve">Bonus
Rebate**
$/Ton
</t>
    </r>
    <r>
      <rPr>
        <i/>
        <sz val="8"/>
        <rFont val="Arial"/>
        <family val="2"/>
      </rPr>
      <t>(Table 1)</t>
    </r>
  </si>
  <si>
    <r>
      <t xml:space="preserve">Bonus
Rebate
</t>
    </r>
    <r>
      <rPr>
        <sz val="8"/>
        <rFont val="Arial"/>
        <family val="2"/>
      </rPr>
      <t>(P x Q) x
(G x K) x 10</t>
    </r>
  </si>
  <si>
    <r>
      <t xml:space="preserve">Total
Rebate
</t>
    </r>
    <r>
      <rPr>
        <sz val="8"/>
        <rFont val="Arial"/>
        <family val="2"/>
      </rPr>
      <t>(O + R)</t>
    </r>
  </si>
  <si>
    <t>M2</t>
  </si>
  <si>
    <t>Unit
Code</t>
  </si>
  <si>
    <t>Minimum
Efficiency</t>
  </si>
  <si>
    <t>Base Rebate
$/Ton</t>
  </si>
  <si>
    <t>Efficiency Bonus Rebate**
$/Ton</t>
  </si>
  <si>
    <r>
      <t xml:space="preserve">Unit
Code
</t>
    </r>
    <r>
      <rPr>
        <i/>
        <sz val="8"/>
        <rFont val="Arial"/>
        <family val="2"/>
      </rPr>
      <t>(Table 3)</t>
    </r>
  </si>
  <si>
    <t>Manufacturer 
Name</t>
  </si>
  <si>
    <r>
      <t xml:space="preserve">Annual
Hours of
Operation
</t>
    </r>
    <r>
      <rPr>
        <i/>
        <sz val="8"/>
        <rFont val="Arial"/>
        <family val="2"/>
      </rPr>
      <t>(Table 4)</t>
    </r>
  </si>
  <si>
    <r>
      <t xml:space="preserve">Base
Rebate
$/Ton
</t>
    </r>
    <r>
      <rPr>
        <i/>
        <sz val="8"/>
        <rFont val="Arial"/>
        <family val="2"/>
      </rPr>
      <t>(Table3)</t>
    </r>
  </si>
  <si>
    <r>
      <t xml:space="preserve">Size
</t>
    </r>
    <r>
      <rPr>
        <i/>
        <sz val="8"/>
        <rFont val="Arial"/>
        <family val="2"/>
      </rPr>
      <t>(Tons)</t>
    </r>
  </si>
  <si>
    <t>T</t>
  </si>
  <si>
    <t>Business Type</t>
  </si>
  <si>
    <r>
      <t xml:space="preserve">Base
Rebate
$/Ton
</t>
    </r>
    <r>
      <rPr>
        <sz val="8"/>
        <rFont val="Arial"/>
        <family val="2"/>
      </rPr>
      <t>(H x M x P)</t>
    </r>
  </si>
  <si>
    <t xml:space="preserve">SAVINGS INFORMATION -  AIR COOLED CHILLERS </t>
  </si>
  <si>
    <t xml:space="preserve">SAVINGS INFORMATION -  WATER COOLED CHILLERS </t>
  </si>
  <si>
    <t>The motors and/or variable speed drives in chiller units are not independently eligible for additional rebates offered under the</t>
  </si>
  <si>
    <t>Commercial Motor and Variable Speed Drive Rebate Program.</t>
  </si>
  <si>
    <t>INVESTMENT IN EFFICIENCY:</t>
  </si>
  <si>
    <t>Net High Efficiency Investment</t>
  </si>
  <si>
    <t>Total Investment</t>
  </si>
  <si>
    <t>Cost Differential for High Efficiency</t>
  </si>
  <si>
    <t>Annual Energy Cost Savings</t>
  </si>
  <si>
    <t>Old Equipment EER</t>
  </si>
  <si>
    <t>IPLV EER</t>
  </si>
  <si>
    <t>New Equipment  EER</t>
  </si>
  <si>
    <t>New Equipment  IPLV EER</t>
  </si>
  <si>
    <t>Convenience Store</t>
  </si>
  <si>
    <t>Education - Primary</t>
  </si>
  <si>
    <t>Education - Secondary</t>
  </si>
  <si>
    <t>Lodging</t>
  </si>
  <si>
    <t>Manufacturing</t>
  </si>
  <si>
    <t>Office - Low Rise</t>
  </si>
  <si>
    <t>Office - Mid Rise</t>
  </si>
  <si>
    <t>Office - High Rise</t>
  </si>
  <si>
    <t>Restaurant</t>
  </si>
  <si>
    <t>Retail - Large Department Store</t>
  </si>
  <si>
    <t>Retail - Strip Mall</t>
  </si>
  <si>
    <t>Warehouse</t>
  </si>
  <si>
    <t>Cost Difference Between Standard and High Eff Equipment</t>
  </si>
  <si>
    <t>13 SEER</t>
  </si>
  <si>
    <t>DRL</t>
  </si>
  <si>
    <t>Updated Packaged/Rooftop with new codes, efficiences, and lowered the rebate amount</t>
  </si>
  <si>
    <t>Account Name</t>
  </si>
  <si>
    <t>Doing Business As (if different from Account Name)</t>
  </si>
  <si>
    <t>Contact Name (rebate check will be mailed to contact)</t>
  </si>
  <si>
    <t>Actual
IEER* SEER*
or EER*</t>
  </si>
  <si>
    <t>IEER*</t>
  </si>
  <si>
    <t>Business
Type</t>
  </si>
  <si>
    <t>Note: In Columns B and J, please enter Existing and Actual SEER , IEER or EER value, respectively and then mark SEER, IEER or EER.</t>
  </si>
  <si>
    <t>* SEER=Seasonal Energy Efficiency Rating;  IEER=Integrated Energy Efficiency Rating; EER=Energy Efficiency Rating</t>
  </si>
  <si>
    <r>
      <t xml:space="preserve">A copy of the manufacturer's applicable unit rating must accompany this application. </t>
    </r>
    <r>
      <rPr>
        <sz val="8"/>
        <rFont val="Arial"/>
        <family val="2"/>
      </rPr>
      <t>The AHRI directory and standards are located at www.ahridirectory.org</t>
    </r>
  </si>
  <si>
    <t>Path A or B</t>
  </si>
  <si>
    <r>
      <t xml:space="preserve">Min.
FLV
</t>
    </r>
    <r>
      <rPr>
        <i/>
        <sz val="8"/>
        <rFont val="Arial"/>
        <family val="2"/>
      </rPr>
      <t>(Table 3)</t>
    </r>
  </si>
  <si>
    <t>Rated
FLV</t>
  </si>
  <si>
    <r>
      <t xml:space="preserve">Min. 
IPLV
</t>
    </r>
    <r>
      <rPr>
        <i/>
        <sz val="8"/>
        <rFont val="Arial"/>
        <family val="2"/>
      </rPr>
      <t>(Table 3)</t>
    </r>
  </si>
  <si>
    <t>Rated
IPLV</t>
  </si>
  <si>
    <r>
      <t xml:space="preserve">Total Eff. Bonus
</t>
    </r>
    <r>
      <rPr>
        <sz val="8"/>
        <rFont val="Arial"/>
        <family val="2"/>
      </rPr>
      <t>(Table 5)</t>
    </r>
  </si>
  <si>
    <r>
      <t>Total
Rebate</t>
    </r>
    <r>
      <rPr>
        <i/>
        <sz val="8"/>
        <rFont val="Arial"/>
        <family val="2"/>
      </rPr>
      <t xml:space="preserve">
</t>
    </r>
    <r>
      <rPr>
        <sz val="8"/>
        <rFont val="Arial"/>
        <family val="2"/>
      </rPr>
      <t>(S + Q)</t>
    </r>
  </si>
  <si>
    <t>Water Cooled</t>
  </si>
  <si>
    <t>[(K-L) x H x R x M] x 100</t>
  </si>
  <si>
    <t>TABLE 5 - Total Efficiency Bonus Calculation</t>
  </si>
  <si>
    <t>Qualifying Equipment</t>
  </si>
  <si>
    <t>Code</t>
  </si>
  <si>
    <t xml:space="preserve"> Min. FLV Eff.</t>
  </si>
  <si>
    <t>Min. IPLV Eff.</t>
  </si>
  <si>
    <t>Efficiency Bonus Rebate</t>
  </si>
  <si>
    <t>Water-Cooled Screw/Scroll Chiller - 75 to less than 150 tons</t>
  </si>
  <si>
    <t>Water-Cooled Screw/Scroll Chiller - 150 to less than 300 tons</t>
  </si>
  <si>
    <t>Water-Cooled Centrifugal Chiller - 150 to less than 300 Tons</t>
  </si>
  <si>
    <t>Water-Cooled Screw/Scroll Chiller- Less than 75 Tons</t>
  </si>
  <si>
    <t>Path A Chillers with Fixed Speed / No Demand Limiting Controls</t>
  </si>
  <si>
    <t>Estimated Hours</t>
  </si>
  <si>
    <t>Path B Chillers with Variable Speed / Demand Limiting Controls</t>
  </si>
  <si>
    <t>Air-Cooled Chiller- Less than 150 Tons</t>
  </si>
  <si>
    <t>Air-Cooled Chiller - 150 Tons and Greater</t>
  </si>
  <si>
    <t>FLV - Full Load Value; IPLV - Integrated Part Load Value; EER - Energy Efficiency Rate</t>
  </si>
  <si>
    <r>
      <t>Note:</t>
    </r>
    <r>
      <rPr>
        <sz val="10"/>
        <rFont val="Arial"/>
        <family val="2"/>
      </rPr>
      <t xml:space="preserve">  </t>
    </r>
  </si>
  <si>
    <t>Qualifying chillers must meet both full load and IPLV minimum efficiency requirements shown in Table 3 above to be eligible and have kW per Ton ratings stamped on the nameplate. Documentation is required. This can be a printout from the AHRI directory (www.ahridirectory.org) or if the chiller has not been tested by AHRI, manufacturer documentation must show the rated capacity (tons), and the IPLV efficiency and full-load efficiency at AHRI standard 550/590 rating conditions.</t>
  </si>
  <si>
    <t>Air Cooled</t>
  </si>
  <si>
    <t>Unit_Code_ChillersW</t>
  </si>
  <si>
    <t>Unit_Code_ChillersA</t>
  </si>
  <si>
    <t>Base Equipment kW / Ton</t>
  </si>
  <si>
    <t>Rebates are available to non-residential electric customers of Austin Utilities, Owatonna Public Utilities, and Rochester Public Utilities (herein</t>
  </si>
  <si>
    <t>referred to as The Utility). All products must be in use in facilities in The Utility service territory.</t>
  </si>
  <si>
    <t>must be read and filled out completely or application will be returned.</t>
  </si>
  <si>
    <t>The Utility reserves the right to inspect the customer’s facility through on-site visits before and after new equipment installation to verify</t>
  </si>
  <si>
    <t>rebate eligibility.</t>
  </si>
  <si>
    <t>Qualifying energy-efficient equipment installed and operational within six (6) months of the date of purchase are eligible for rebate.</t>
  </si>
  <si>
    <t>Additional time may be granted subject to The Utility’s pre-approval. In no case will the rebate paid by The Utility exceed the purchase price</t>
  </si>
  <si>
    <t>of the equipment. The maximum rebate amount is $100,000 per customer location per technology per year.</t>
  </si>
  <si>
    <t>Following inspection and verification (see #3) and completed installation, the customer must notify The Utility and submit original invoices</t>
  </si>
  <si>
    <t>SEER/EER (Rooftop, Packaged, and Condensing A/C Units) certification data or manufacturer’s kW per Ton (Central Chillers) is required</t>
  </si>
  <si>
    <t>to be submitted with invoices. After satisfactory review of the application and invoices, a rebate check or bill credit will be issued to the</t>
  </si>
  <si>
    <t>customer. Vendors or contractors are not eligible to receive their customer’s rebate. Please allow 6-10 weeks from the date of application</t>
  </si>
  <si>
    <t>submission for delivery of rebate check or bill credit. The Utility reserves the right to apply the rebate to past due accounts.</t>
  </si>
  <si>
    <t>Eligible high-efficiency cooling equipment must be new and meet or exceed The Utility’s minimum efficiency requirements as identified in</t>
  </si>
  <si>
    <t>Tables 1 and 3 according to its respective characteristics. Eligible high-efficiency cooling units must replace units of lesser efficiencies and</t>
  </si>
  <si>
    <t>of equivalent or greater capacity (Tons or Btu’s/hour) to qualify for a rebate.</t>
  </si>
  <si>
    <t>version of AHRI Standard 210/240 if under 65,000 BTU/hour and AHRI 340/360 if above 65,000 BTU/hour, and have nameplate</t>
  </si>
  <si>
    <t>data stamped with the SEER/EER. If equipment is larger than the AHRI Standard certification process, it must be listed as a standard</t>
  </si>
  <si>
    <t>combination in manufacturer’s literature. A copy of the manufacturer’s applicable unit rating must accompany this application. The AHRI</t>
  </si>
  <si>
    <t>directory and standards are located at www.ahridirectory.org.</t>
  </si>
  <si>
    <t>stamped on the nameplate. Documentation is required. This can be a printout from the AHRI directory (www.ahridirectory.org) or if the</t>
  </si>
  <si>
    <t>chiller has not been tested by AHRI, manufacturer documentation must show the rated capacity (tons), and the IPLV efficiency and the</t>
  </si>
  <si>
    <t>full-load efficiency at AHRI standard 550/590 rating conditions:</t>
  </si>
  <si>
    <t>• 44º F leaving chilled water temperature</t>
  </si>
  <si>
    <t>• 85º F entering condenser water temperature (for water cooled chillers)</t>
  </si>
  <si>
    <t>• 95º F entering condenser air temperature (for air cooled chillers)</t>
  </si>
  <si>
    <t>For water cooled centrifugal chillers not tested at AHRI standard 550/590 rating conditions, manufacturer documentation must show</t>
  </si>
  <si>
    <t>the nominal capacity (tons), and the IPLV efficiency, full-load efficiency, leaving chilled water temperature, entering condenser water</t>
  </si>
  <si>
    <t>temperature, and condenser gpm at operating conditions.</t>
  </si>
  <si>
    <t>The Utility will not be responsible for any tax liability imposed as a result of the rebate payment(s). Customers are advised to consult their</t>
  </si>
  <si>
    <t>tax advisors for details.</t>
  </si>
  <si>
    <t>The Utility does not guarantee that the implementation of energy-efficient measures or use of the equipment purchased or installed</t>
  </si>
  <si>
    <t>pursuant to this program will result in energy or cost savings. The Utility makes no warranties, expressed or implied, with respect to any</t>
  </si>
  <si>
    <t>equipment purchased or installed including, but not limited to, any warrant of merchantability or fitness for purpose. In no event shall</t>
  </si>
  <si>
    <t>The Utility be liable for any incidental or consequential damages. Customers are solely responsible for the proper disposal of existing</t>
  </si>
  <si>
    <t>equipment. Consult the Minnesota Pollution Control Agency (MPCA) office for details at 800.657.3864.</t>
  </si>
  <si>
    <t>The Utility does not endorse any particular vendor, manufacturer, product, or system in promoting this rebate program. Listing a vendor or</t>
  </si>
  <si>
    <t>product does not constitute an endorsement, nor does it imply that unlisted vendors or products are deficient or defective in any way.</t>
  </si>
  <si>
    <t>Information contained in this rebate application may be shared with the Minnesota Department of Commerce and our co-op partners and also</t>
  </si>
  <si>
    <t>may be used in our advertising efforts with your permission as granted in Section B of this rebate application.</t>
  </si>
  <si>
    <t>1.</t>
  </si>
  <si>
    <t>2.</t>
  </si>
  <si>
    <t>3.</t>
  </si>
  <si>
    <t>4.</t>
  </si>
  <si>
    <t>5.</t>
  </si>
  <si>
    <t>6.</t>
  </si>
  <si>
    <t>7.</t>
  </si>
  <si>
    <t>8.</t>
  </si>
  <si>
    <t>9.</t>
  </si>
  <si>
    <t>10.</t>
  </si>
  <si>
    <t>ELIGIBILITY</t>
  </si>
  <si>
    <t>APPLICATION</t>
  </si>
  <si>
    <t>INSPECTION AND VERIFICATION</t>
  </si>
  <si>
    <t>INSTALLATION AND REBATE AMOUNTS</t>
  </si>
  <si>
    <t>INVOICE AND PAYMENT</t>
  </si>
  <si>
    <t>EQUIPMENT ELIGIBILITY REQUIREMENTS</t>
  </si>
  <si>
    <t>TAX INFORMATION</t>
  </si>
  <si>
    <t>DISCLAIMER</t>
  </si>
  <si>
    <t>ENDORSEMENT</t>
  </si>
  <si>
    <t>PRIVACY</t>
  </si>
  <si>
    <t>SECTION G.  TERMS AND CONDITIONS</t>
  </si>
  <si>
    <t>RETURN  COMPLETED  APPLICATION  AND  REQUIRED  DOCUMENTATION  TO  YOUR  UTILITY  PROVIDER:</t>
  </si>
  <si>
    <t>Austin Utilities</t>
  </si>
  <si>
    <t>Attn: Rebate Processing</t>
  </si>
  <si>
    <t>1908 14th St NE</t>
  </si>
  <si>
    <t>Austin, MN 55912-4904</t>
  </si>
  <si>
    <t>507.433.8886</t>
  </si>
  <si>
    <t>www.austinutilities.com</t>
  </si>
  <si>
    <t>Owatonna Public Utilities</t>
  </si>
  <si>
    <t>PO Box 800</t>
  </si>
  <si>
    <t>Owatonna, MN 55060-0800</t>
  </si>
  <si>
    <t>507.451.2480</t>
  </si>
  <si>
    <t>www.owatonnautilities.com</t>
  </si>
  <si>
    <t>Rochester Public Utilities</t>
  </si>
  <si>
    <t xml:space="preserve">Attn: Rebate Processing </t>
  </si>
  <si>
    <t>4000 E River Rd NE</t>
  </si>
  <si>
    <t>Rochester, MN 55906-2813</t>
  </si>
  <si>
    <t>507.280.1500</t>
  </si>
  <si>
    <t>www.rpu.org</t>
  </si>
  <si>
    <r>
      <rPr>
        <b/>
        <sz val="9"/>
        <rFont val="Arial"/>
        <family val="2"/>
      </rPr>
      <t>Rooftop, Packaged, and Condensing A/C Units</t>
    </r>
    <r>
      <rPr>
        <sz val="9"/>
        <rFont val="Arial"/>
        <family val="2"/>
      </rPr>
      <t>: Qualifying unitary A/C units must have been rated in accordance with the most recent</t>
    </r>
  </si>
  <si>
    <r>
      <rPr>
        <b/>
        <sz val="9"/>
        <rFont val="Arial"/>
        <family val="2"/>
      </rPr>
      <t>Central Chillers</t>
    </r>
    <r>
      <rPr>
        <sz val="9"/>
        <rFont val="Arial"/>
        <family val="2"/>
      </rPr>
      <t>: Qualifying chillers must meet the efficiency requirements shown in Table 3 to be eligible and have kW per Ton ratings</t>
    </r>
  </si>
  <si>
    <t>DB</t>
  </si>
  <si>
    <t>Updated format to match, pdf format.  Updated codes.  Updated terms and conditions.</t>
  </si>
  <si>
    <t>Added checks so rebates are not caclulated for ineligible equipment</t>
  </si>
  <si>
    <t>Updated terms and conditions.</t>
  </si>
  <si>
    <t>Removed variable names that were unused (some pointed to lighting rebate spreadsheet)</t>
  </si>
  <si>
    <t>Packaged Terminal AC Units (new construction - less than 7,000 BTU/Hour)</t>
  </si>
  <si>
    <t>Packaged Terminal AC Units (new construction - 7,000-15,000 BTU/hour)</t>
  </si>
  <si>
    <t>Packaged Terminal AC Units (new construction - greater than 15,000 BTU/hour)</t>
  </si>
  <si>
    <t>Packaged Terminal AC Units (replacement  - less than 7,000 BTU/Hour)</t>
  </si>
  <si>
    <t>Packaged Terminal AC Units (replacement - 7,000-15,000 BTU/hour)</t>
  </si>
  <si>
    <t>Packaged Terminal AC Units (replacement - greater than 15,000 BTU/hour)</t>
  </si>
  <si>
    <t>Packaged Terminal Heat Pump Units (new construction - less than 7,000 BTU/hour)</t>
  </si>
  <si>
    <t>Packaged Terminal Heat Pump Units (new construction - 7,000-15,000 BTU/hour)</t>
  </si>
  <si>
    <t>Packaged Terminal Heat Pump Units (new construction - greater than  15,000 BTU/hour)</t>
  </si>
  <si>
    <t>Packaged Terminal Heat Pump Units (replacement - less than 7,000 BTU/hour)</t>
  </si>
  <si>
    <t>Packaged Terminal Heat Pump Units (replacement - 7,000-15,000 BTU/hour)</t>
  </si>
  <si>
    <t>Packaged Terminal Heat Pump Units (replacement - greater than 15,000 BTU/hour)</t>
  </si>
  <si>
    <t>SECTION E.  REBATE INFORMATION - WATER COOLED CHILLERS</t>
  </si>
  <si>
    <t>SECTION E.  REBATE INFORMATION -  AIR COOLED CHILLERS</t>
  </si>
  <si>
    <r>
      <t xml:space="preserve">Program is offered January 1 through December 31 of the respective calendar year. </t>
    </r>
    <r>
      <rPr>
        <b/>
        <sz val="9"/>
        <rFont val="Arial"/>
        <family val="2"/>
      </rPr>
      <t>Due to limited funding, this rebate offer can be</t>
    </r>
  </si>
  <si>
    <r>
      <rPr>
        <b/>
        <sz val="9"/>
        <rFont val="Arial"/>
        <family val="2"/>
      </rPr>
      <t>changed or withdrawn at any time without notice and is available on a first-come, first-serve basis.</t>
    </r>
    <r>
      <rPr>
        <sz val="9"/>
        <rFont val="Arial"/>
        <family val="2"/>
      </rPr>
      <t xml:space="preserve"> The entire rebate application</t>
    </r>
  </si>
  <si>
    <t>14 SEER</t>
  </si>
  <si>
    <t>12.7 IEER</t>
  </si>
  <si>
    <t>12.2 IERR</t>
  </si>
  <si>
    <t>11.4 IEER</t>
  </si>
  <si>
    <t>9.6 IEER</t>
  </si>
  <si>
    <t>14.0 IEER</t>
  </si>
  <si>
    <t>DX split systems less than 65,000 Btu/hour</t>
  </si>
  <si>
    <t>DX packaged units less than 65,000 Btu/hour</t>
  </si>
  <si>
    <t>DX units 65,000 - 134,999 Btu/hour</t>
  </si>
  <si>
    <t>DX units 135,000 - 239,999 Btu/hour</t>
  </si>
  <si>
    <t>DX units 240,000 -759,999 Btu/hour</t>
  </si>
  <si>
    <t>DX units 760,000 Btu/hour or greater</t>
  </si>
  <si>
    <t>DX condensing units greater than 135,000 Btu/hour</t>
  </si>
  <si>
    <t>11.9 EER</t>
  </si>
  <si>
    <t>9.5 EER</t>
  </si>
  <si>
    <t>9.4 EER</t>
  </si>
  <si>
    <t>7.7 EER</t>
  </si>
  <si>
    <t>9.3 EER</t>
  </si>
  <si>
    <t>7.6 EER</t>
  </si>
  <si>
    <t>Base Efficiency for Existing Equipment</t>
  </si>
  <si>
    <t>11.9 - (0.213 x Btuh Capacity/1000) EER</t>
  </si>
  <si>
    <t>14.0- (0.3 x Btuh Capacity/1000) EER</t>
  </si>
  <si>
    <t>10.9 - (0.213 x Btuh Capacity/1000) EER</t>
  </si>
  <si>
    <t>14.0 - (0.3 x Btuh Capacity/1000) EER</t>
  </si>
  <si>
    <t>10.8- (0.213 x Btuh Capacity/1000) EER</t>
  </si>
  <si>
    <t>15.0 - (0.3 x Btuh Capacity/1000) EER</t>
  </si>
  <si>
    <r>
      <rPr>
        <b/>
        <sz val="8"/>
        <rFont val="Arial"/>
        <family val="2"/>
      </rPr>
      <t>Note:</t>
    </r>
    <r>
      <rPr>
        <sz val="8"/>
        <rFont val="Arial"/>
        <family val="2"/>
      </rPr>
      <t xml:space="preserve">  Qualifying unitary A/C units must have been rated in accordance with the most recent version of AHRI Standard 210/240 if under 65,000 BTU/hour and AHRI 340/360 if above 65,000 BTU/hour, and have nameplate data stamped with the SEER/IEER/EER. If equipment is larger than the AHRI Standard certification process, it must be listed as a standard combination in manufacturer’s literature.</t>
    </r>
  </si>
  <si>
    <t>Is the existing equipment operational:</t>
  </si>
  <si>
    <t>Yes</t>
  </si>
  <si>
    <t>No</t>
  </si>
  <si>
    <t>15.0 - (0.3 x  Btuh Capacity/1000) EER*</t>
  </si>
  <si>
    <t>11.9 - (0.213 x Btuh Capacity/1000) EER*</t>
  </si>
  <si>
    <t>15.0 - (0.3 x Btuh Capacity/1000) EER*</t>
  </si>
  <si>
    <t>Water-Cooled Centrifugal Chiller - 300 to less than 600 tons</t>
  </si>
  <si>
    <t>Water-Cooled Centrifugal Chiller - 600 Tons and Greater</t>
  </si>
  <si>
    <t>Water-Cooled Centrifugal Chiller - 300 to less than 600 Tons</t>
  </si>
  <si>
    <r>
      <t xml:space="preserve">Eff. Bonus Rebate* $/Ton </t>
    </r>
    <r>
      <rPr>
        <i/>
        <sz val="8"/>
        <rFont val="Arial"/>
        <family val="2"/>
      </rPr>
      <t>(Table 3)</t>
    </r>
  </si>
  <si>
    <t>* Efficiency Bonus Rebate provides an additional incentive for each 0.01 kW per Ton below the Minimum IPLV Efficiency.</t>
  </si>
  <si>
    <t>* Efficiency Bonus Rebate provides an additional incentive for each 0.1 EER above the Minimum IPLV Efficiency.</t>
  </si>
  <si>
    <t>[(L-K) x H x R x M] x 10</t>
  </si>
  <si>
    <r>
      <t xml:space="preserve">** Efficiency Bonus Rebate provides an additional incentive for each 0.1 SEER/IEER or EER </t>
    </r>
    <r>
      <rPr>
        <u/>
        <sz val="8"/>
        <rFont val="Arial"/>
        <family val="2"/>
      </rPr>
      <t>above</t>
    </r>
    <r>
      <rPr>
        <sz val="8"/>
        <rFont val="Arial"/>
        <family val="2"/>
      </rPr>
      <t xml:space="preserve"> the Minimum Efficiency.</t>
    </r>
  </si>
  <si>
    <t>U</t>
  </si>
  <si>
    <t>V</t>
  </si>
  <si>
    <t>W</t>
  </si>
  <si>
    <r>
      <t xml:space="preserve">Min.
IPLV
</t>
    </r>
    <r>
      <rPr>
        <i/>
        <sz val="8"/>
        <rFont val="Arial"/>
        <family val="2"/>
      </rPr>
      <t>(Table 3)</t>
    </r>
  </si>
  <si>
    <r>
      <t xml:space="preserve">Base
Rebate
$/Ton
</t>
    </r>
    <r>
      <rPr>
        <sz val="8"/>
        <rFont val="Arial"/>
        <family val="2"/>
      </rPr>
      <t>( J x O x S)</t>
    </r>
  </si>
  <si>
    <r>
      <t>Total
Rebate</t>
    </r>
    <r>
      <rPr>
        <i/>
        <sz val="8"/>
        <rFont val="Arial"/>
        <family val="2"/>
      </rPr>
      <t xml:space="preserve">
</t>
    </r>
    <r>
      <rPr>
        <sz val="8"/>
        <rFont val="Arial"/>
        <family val="2"/>
      </rPr>
      <t>(V + T)</t>
    </r>
  </si>
  <si>
    <t>C9 - 20A</t>
  </si>
  <si>
    <t>C10 - 20A</t>
  </si>
  <si>
    <t>C9 - 20B</t>
  </si>
  <si>
    <t>C10 - 20B</t>
  </si>
  <si>
    <t>C1 - 20A</t>
  </si>
  <si>
    <t>C2 - 20A</t>
  </si>
  <si>
    <t>C3 - 20A</t>
  </si>
  <si>
    <t>C4 - 20A</t>
  </si>
  <si>
    <t>C5 - 20A</t>
  </si>
  <si>
    <t>C6 - 20A</t>
  </si>
  <si>
    <t>C7 - 20A</t>
  </si>
  <si>
    <t>C8 - 20A</t>
  </si>
  <si>
    <t>C1 - 20B</t>
  </si>
  <si>
    <t>C2 - 20B</t>
  </si>
  <si>
    <t>C3 - 20B</t>
  </si>
  <si>
    <t>C4 - 20B</t>
  </si>
  <si>
    <t>C5 - 20B</t>
  </si>
  <si>
    <t>C6 - 20B</t>
  </si>
  <si>
    <t>C7 - 20B</t>
  </si>
  <si>
    <t>C8 - 20B</t>
  </si>
  <si>
    <t>UT1A-20</t>
  </si>
  <si>
    <t>UT1B-20</t>
  </si>
  <si>
    <t>UT2-20</t>
  </si>
  <si>
    <t>UT3-20</t>
  </si>
  <si>
    <t>UT4-20</t>
  </si>
  <si>
    <t>UT5-20</t>
  </si>
  <si>
    <t>UT6-20</t>
  </si>
  <si>
    <t>PTAC1-NC-20</t>
  </si>
  <si>
    <t>PTAC2-NC-20</t>
  </si>
  <si>
    <t>PTAC3-NC-20</t>
  </si>
  <si>
    <t>PTAC1-R-20</t>
  </si>
  <si>
    <t>PTAC2-R-20</t>
  </si>
  <si>
    <t>PTAC3-R-20</t>
  </si>
  <si>
    <t>PTHP1-NC-20</t>
  </si>
  <si>
    <t>PTHP2-NC-20</t>
  </si>
  <si>
    <t>PTHP3-NC-20</t>
  </si>
  <si>
    <t>PTHP1-R-20</t>
  </si>
  <si>
    <t>PTHP2-R-20</t>
  </si>
  <si>
    <t>PTHP3-R-20</t>
  </si>
  <si>
    <t>REBATE IS LIMITED TO 50% OF NEW EQUIPMENT COST.</t>
  </si>
  <si>
    <t>rebates@austinutilities.com</t>
  </si>
  <si>
    <t>rebates@owatonnautilities.com</t>
  </si>
  <si>
    <t xml:space="preserve">rebates@rpu.org </t>
  </si>
  <si>
    <t>specifying the model number, quantity and price of all materials purchased, the date ordered, installation costs, and applicable taxes. Additionally,</t>
  </si>
  <si>
    <t>UT1A–23</t>
  </si>
  <si>
    <t>DX Split Units less than 65,000 BTU/hour</t>
  </si>
  <si>
    <t>UT1B–23</t>
  </si>
  <si>
    <t>DX Packaged Units less than 65,000 BTU/hour</t>
  </si>
  <si>
    <t>UT2–20</t>
  </si>
  <si>
    <t>DX Units 65,000 - 134,999 BTU/hour</t>
  </si>
  <si>
    <t>UT3–20</t>
  </si>
  <si>
    <t>DX Units 135,000 - 239,999 BTU/hour</t>
  </si>
  <si>
    <t>12.2 IEER</t>
  </si>
  <si>
    <t>UT4–20</t>
  </si>
  <si>
    <t>DX Units 240,000 - 759,000 BTU/hour</t>
  </si>
  <si>
    <t>UT5–20</t>
  </si>
  <si>
    <t>DX Units 760,000 BTU/hour and greater</t>
  </si>
  <si>
    <t>UT6–20</t>
  </si>
  <si>
    <t>DX Condensing Units greater than 135,000 BTU/hour</t>
  </si>
  <si>
    <t>PTAC1–NC–23</t>
  </si>
  <si>
    <t>Packaged Terminal A/C Units (new construction – less than 7,000 BTU/hour)</t>
  </si>
  <si>
    <t>PTAC2–NC–23</t>
  </si>
  <si>
    <t>Packaged Terminal A/C Units (new construction – 7,000 – 15,000 BTU/hour)</t>
  </si>
  <si>
    <t>14.3 - (0.3 x Btuh Capacity/1000) EER2*</t>
  </si>
  <si>
    <t>PTAC3–NC–23</t>
  </si>
  <si>
    <t>Packaged Terminal A/C Units (new construction – greater than 15,000 BTU/hour)</t>
  </si>
  <si>
    <t>PTAC1–R–23</t>
  </si>
  <si>
    <t>Packaged Terminal A/C Units (replacement – less than 7,000 BTU/hour)</t>
  </si>
  <si>
    <t>PTAC2–R–23</t>
  </si>
  <si>
    <t>Packaged Terminal A/C Units (replacement – 7,000 – 15,000 BTU/hour)</t>
  </si>
  <si>
    <t>11.4 - (0.213 x Btuh Capacity/1000) EER2*</t>
  </si>
  <si>
    <t>PTAC3–R–23</t>
  </si>
  <si>
    <t>Packaged Terminal A/C Units (replacement – greater than 15,000 BTU/hour)</t>
  </si>
  <si>
    <t>PTHP1–NC–23</t>
  </si>
  <si>
    <t>Packaged Terminal Heat Pump Units (new construction – less than 7,000 BTU/hour)</t>
  </si>
  <si>
    <t>PTHP2–NC–23</t>
  </si>
  <si>
    <t>Packaged Terminal Heat Pump Units (new construction – 7,000 – 15,000 BTU/hour)</t>
  </si>
  <si>
    <t>PTHP3–NC–23</t>
  </si>
  <si>
    <t>Packaged Terminal Heat Pump Units (new construction – greater than 15,000 BTU/hour)</t>
  </si>
  <si>
    <t>PTHP1–R–23</t>
  </si>
  <si>
    <t>Packaged Terminal Heat Pump Units (replacement – less than 7,000 BTU/hour)</t>
  </si>
  <si>
    <t>PTHP2–R–23</t>
  </si>
  <si>
    <t>Packaged Terminal Heat Pump Units (replacement – 7,000 – 15,000 BTU/hour)</t>
  </si>
  <si>
    <t>PTHP3–R–23</t>
  </si>
  <si>
    <t>Packaged Terminal Heat Pump Units (replacement – greater than 15,000 BTU/hour)</t>
  </si>
  <si>
    <r>
      <rPr>
        <b/>
        <sz val="10"/>
        <rFont val="Arial"/>
        <family val="2"/>
      </rPr>
      <t>*In Columns B and J, please enter Existing and Actual SEER/SEER2, IEER, or EER/EER2 value, respectively, and then check SEER/SEER2, IEER, or EER/EER2.</t>
    </r>
    <r>
      <rPr>
        <sz val="10"/>
        <rFont val="Arial"/>
        <family val="2"/>
      </rPr>
      <t xml:space="preserve">
SEER = Seasonal Energy Efficiency Rating; SEER2 = Seasonal Energy Efficiency Rating 2 (new nomenclature starting in 2023);
IEER = Integrated Energy Efficiency Rating; EER = Energy Efficiency Rating; EER2 = Energy Efficiency Rating 2 (new nomenclature starting in 2023)
**Efficiency Bonus Rebate provides an additional incentive for each 0.10 SEER2/IEER/EER2 above the Minimum Efficiency.
</t>
    </r>
    <r>
      <rPr>
        <b/>
        <sz val="10"/>
        <rFont val="Arial"/>
        <family val="2"/>
      </rPr>
      <t xml:space="preserve">Note:  </t>
    </r>
    <r>
      <rPr>
        <sz val="10"/>
        <rFont val="Arial"/>
        <family val="2"/>
      </rPr>
      <t xml:space="preserve"> Qualifying unitary A/C units must have been rated in accordance with the most recent version of AHRI Standard 210/240 if under 65,000 BTU/hour and AHRI 340/360 if above 65,000 BTU/hour, and have nameplate data stamped with the SEER2/IEER/EER2. If equipment is larger than the AHRI Standard certification process, it must be listed as a standard combination in manufacturer’s literature.</t>
    </r>
  </si>
  <si>
    <t>SEER2*</t>
  </si>
  <si>
    <t>EER2*</t>
  </si>
  <si>
    <r>
      <t xml:space="preserve">TABLE 1 - QUALIFYING EFFICIENCIES AND REBATE SCHEDULE </t>
    </r>
    <r>
      <rPr>
        <b/>
        <sz val="8"/>
        <color rgb="FFFF0000"/>
        <rFont val="Arial"/>
        <family val="2"/>
      </rPr>
      <t>(NOTE: If your new equipment is rated in SEER2 or EER2, then complete this page. Otherwise, see page 1.)</t>
    </r>
  </si>
  <si>
    <t xml:space="preserve">NEW SYSTEM
SEER2 or EER2 </t>
  </si>
  <si>
    <t>Actual
IEER* SEER2*
or EER2*</t>
  </si>
  <si>
    <t>AB</t>
  </si>
  <si>
    <t>Other/Miscellaneous</t>
  </si>
  <si>
    <t>(NOTE: If your new equipment is rated in SEER2 or EER2, then complete this page. Otherwise, see page 1.)</t>
  </si>
  <si>
    <r>
      <t>SECTION D.  REBATE INFORMATION - ROOFTOP, PACKAGED AND CONDENSING A/C UNITS for</t>
    </r>
    <r>
      <rPr>
        <sz val="10"/>
        <color rgb="FFFF0000"/>
        <rFont val="Arial Black"/>
        <family val="2"/>
      </rPr>
      <t xml:space="preserve"> SEER2 or EER2 rated equipment ONLY</t>
    </r>
  </si>
  <si>
    <t>added cooling hours for Other/Misc. @ 729</t>
  </si>
  <si>
    <t>New Equipment  SEER2 / EER2</t>
  </si>
  <si>
    <t xml:space="preserve">added new tab and info for SEER2 rated equipment (base efficiency not verifed yet) </t>
  </si>
  <si>
    <t>12.4 SEER2</t>
  </si>
  <si>
    <t>13.4 SEER2</t>
  </si>
  <si>
    <t>11.4 EER2</t>
  </si>
  <si>
    <t>13.4 - (0.3 x Btuh Capacity/1000) EER2</t>
  </si>
  <si>
    <t>9.1 EER2</t>
  </si>
  <si>
    <t>9.0 EER2</t>
  </si>
  <si>
    <t>10.4 - (0.213 x Btuh Capacity/1000) EER2</t>
  </si>
  <si>
    <t>7.4 EER2</t>
  </si>
  <si>
    <t>8.9 EER2</t>
  </si>
  <si>
    <t>10.3 - (0.213 x Btuh Capacity/1000) EER2</t>
  </si>
  <si>
    <t>7.3 EER2</t>
  </si>
  <si>
    <t xml:space="preserve">updated base efficiency for SEER2/EER2 ratings (savings tab for SEER2 needs revision) </t>
  </si>
  <si>
    <r>
      <t xml:space="preserve">SECTION D.  REBATE INFORMATION - ROOFTOP, PACKAGED AND CONDENSING A/C UNITS </t>
    </r>
    <r>
      <rPr>
        <sz val="10"/>
        <color rgb="FFFF0000"/>
        <rFont val="Arial Black"/>
        <family val="2"/>
      </rPr>
      <t>If your new equipment is rated in SEER or EER, then complete this page. Otherwise, see next tab for SEER2/EER2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</si>
</sst>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5" formatCode="&quot;$&quot;#,##0_);\(&quot;$&quot;#,##0\)"/>
    <numFmt numFmtId="6" formatCode="&quot;$&quot;#,##0_);[Red]\(&quot;$&quot;#,##0\)"/>
    <numFmt numFmtId="7" formatCode="&quot;$&quot;#,##0.00_);\(&quot;$&quot;#,##0.00\)"/>
    <numFmt numFmtId="41" formatCode="_(* #,##0_);_(* \(#,##0\);_(* &quot;-&quot;_);_(@_)"/>
    <numFmt numFmtId="44" formatCode="_(&quot;$&quot;* #,##0.00_);_(&quot;$&quot;* \(#,##0.00\);_(&quot;$&quot;* &quot;-&quot;??_);_(@_)"/>
    <numFmt numFmtId="43" formatCode="_(* #,##0.00_);_(* \(#,##0.00\);_(* &quot;-&quot;??_);_(@_)"/>
    <numFmt numFmtId="164" formatCode="0_);\(0\)"/>
    <numFmt numFmtId="165" formatCode="_(* #,##0.0_);_(* \(#,##0.0\);_(* &quot;-&quot;??_);_(@_)"/>
    <numFmt numFmtId="166" formatCode="_(* #,##0_);_(* \(#,##0\);_(* &quot;-&quot;??_);_(@_)"/>
    <numFmt numFmtId="167" formatCode="0.0"/>
    <numFmt numFmtId="168" formatCode="_(&quot;$&quot;* #,##0.0000_);_(&quot;$&quot;* \(#,##0.0000\);_(&quot;$&quot;* &quot;-&quot;??_);_(@_)"/>
    <numFmt numFmtId="169" formatCode="_(&quot;$&quot;* #,##0.000_);_(&quot;$&quot;* \(#,##0.000\);_(&quot;$&quot;* &quot;-&quot;??_);_(@_)"/>
    <numFmt numFmtId="170" formatCode="&quot;$&quot;#,##0.00"/>
    <numFmt numFmtId="171" formatCode="_(&quot;$&quot;* #,##0_);_(&quot;$&quot;* \(#,##0\);_(&quot;$&quot;* &quot;-&quot;??_);_(@_)"/>
    <numFmt numFmtId="172" formatCode="\(###\)\ ###\-####"/>
    <numFmt numFmtId="173" formatCode="&quot;NA&quot;"/>
    <numFmt numFmtId="174" formatCode="#,##0.000\ &quot; EER&quot;"/>
    <numFmt numFmtId="175" formatCode="#,##0.0\ &quot; EER&quot;"/>
    <numFmt numFmtId="176" formatCode="#,##0.000\ &quot; kW per Ton&quot;"/>
    <numFmt numFmtId="177" formatCode="0.000"/>
    <numFmt numFmtId="178" formatCode="#,##0.000_);\(#,##0.000\)"/>
  </numFmts>
  <fonts count="5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10"/>
      <name val="Arial Black"/>
      <family val="2"/>
    </font>
    <font>
      <sz val="8"/>
      <name val="Arial"/>
      <family val="2"/>
    </font>
    <font>
      <b/>
      <sz val="10"/>
      <name val="Arial"/>
      <family val="2"/>
    </font>
    <font>
      <u/>
      <sz val="10"/>
      <color indexed="12"/>
      <name val="Arial"/>
      <family val="2"/>
    </font>
    <font>
      <b/>
      <sz val="8"/>
      <name val="Arial"/>
      <family val="2"/>
    </font>
    <font>
      <sz val="8"/>
      <name val="Arial"/>
      <family val="2"/>
    </font>
    <font>
      <b/>
      <sz val="8"/>
      <name val="Arial"/>
      <family val="2"/>
    </font>
    <font>
      <b/>
      <sz val="16"/>
      <name val="Arial"/>
      <family val="2"/>
    </font>
    <font>
      <sz val="12"/>
      <name val="Arial"/>
      <family val="2"/>
    </font>
    <font>
      <b/>
      <sz val="12"/>
      <name val="Arial"/>
      <family val="2"/>
    </font>
    <font>
      <i/>
      <sz val="8"/>
      <name val="Arial"/>
      <family val="2"/>
    </font>
    <font>
      <sz val="10"/>
      <name val="Arial"/>
      <family val="2"/>
    </font>
    <font>
      <b/>
      <sz val="11"/>
      <color indexed="8"/>
      <name val="Calibri"/>
      <family val="2"/>
    </font>
    <font>
      <sz val="11"/>
      <color indexed="8"/>
      <name val="Calibri"/>
      <family val="2"/>
    </font>
    <font>
      <sz val="8"/>
      <color indexed="8"/>
      <name val="Arial"/>
      <family val="2"/>
    </font>
    <font>
      <b/>
      <sz val="8"/>
      <color indexed="81"/>
      <name val="Tahoma"/>
      <family val="2"/>
    </font>
    <font>
      <sz val="8"/>
      <color indexed="81"/>
      <name val="Tahoma"/>
      <family val="2"/>
    </font>
    <font>
      <sz val="8"/>
      <color indexed="8"/>
      <name val="Calibri"/>
      <family val="2"/>
    </font>
    <font>
      <b/>
      <sz val="8"/>
      <color indexed="9"/>
      <name val="Arial"/>
      <family val="2"/>
    </font>
    <font>
      <b/>
      <sz val="16"/>
      <color indexed="8"/>
      <name val="Calibri"/>
      <family val="2"/>
    </font>
    <font>
      <sz val="12"/>
      <color indexed="8"/>
      <name val="Calibri"/>
      <family val="2"/>
    </font>
    <font>
      <u/>
      <sz val="12"/>
      <color indexed="8"/>
      <name val="Calibri"/>
      <family val="2"/>
    </font>
    <font>
      <sz val="9"/>
      <color indexed="8"/>
      <name val="Calibri"/>
      <family val="2"/>
    </font>
    <font>
      <u/>
      <sz val="9"/>
      <color indexed="8"/>
      <name val="Calibri"/>
      <family val="2"/>
    </font>
    <font>
      <b/>
      <u/>
      <sz val="10"/>
      <name val="Arial"/>
      <family val="2"/>
    </font>
    <font>
      <b/>
      <sz val="11"/>
      <name val="Arial"/>
      <family val="2"/>
    </font>
    <font>
      <sz val="8"/>
      <color indexed="9"/>
      <name val="Arial"/>
      <family val="2"/>
    </font>
    <font>
      <sz val="11"/>
      <color indexed="8"/>
      <name val="Calibri"/>
      <family val="2"/>
    </font>
    <font>
      <sz val="10"/>
      <color indexed="9"/>
      <name val="Arial"/>
      <family val="2"/>
    </font>
    <font>
      <sz val="11"/>
      <name val="Calibri"/>
      <family val="2"/>
    </font>
    <font>
      <b/>
      <i/>
      <sz val="8"/>
      <name val="Arial"/>
      <family val="2"/>
    </font>
    <font>
      <b/>
      <i/>
      <sz val="10"/>
      <name val="Arial"/>
      <family val="2"/>
    </font>
    <font>
      <b/>
      <i/>
      <sz val="10"/>
      <color indexed="8"/>
      <name val="Arial"/>
      <family val="2"/>
    </font>
    <font>
      <sz val="12"/>
      <name val="Arial Black"/>
      <family val="2"/>
    </font>
    <font>
      <u/>
      <sz val="8"/>
      <name val="Arial"/>
      <family val="2"/>
    </font>
    <font>
      <sz val="9"/>
      <name val="Arial"/>
      <family val="2"/>
    </font>
    <font>
      <b/>
      <sz val="9"/>
      <name val="Arial"/>
      <family val="2"/>
    </font>
    <font>
      <b/>
      <sz val="10"/>
      <name val="Arial Black"/>
      <family val="2"/>
    </font>
    <font>
      <sz val="11"/>
      <color theme="1"/>
      <name val="Calibri"/>
      <family val="2"/>
      <scheme val="minor"/>
    </font>
    <font>
      <u/>
      <sz val="11"/>
      <color theme="10"/>
      <name val="Calibri"/>
      <family val="2"/>
    </font>
    <font>
      <sz val="11"/>
      <color rgb="FFFF0000"/>
      <name val="Calibri"/>
      <family val="2"/>
      <scheme val="minor"/>
    </font>
    <font>
      <sz val="11"/>
      <name val="Calibri"/>
      <family val="2"/>
      <scheme val="minor"/>
    </font>
    <font>
      <sz val="11"/>
      <color rgb="FFFF0000"/>
      <name val="Calibri"/>
      <family val="2"/>
    </font>
    <font>
      <sz val="8"/>
      <color theme="0"/>
      <name val="Arial"/>
      <family val="2"/>
    </font>
    <font>
      <sz val="8"/>
      <color rgb="FF000000"/>
      <name val="Tahoma"/>
      <family val="2"/>
    </font>
    <font>
      <sz val="10"/>
      <color rgb="FFFF0000"/>
      <name val="Arial"/>
      <family val="2"/>
    </font>
    <font>
      <sz val="10"/>
      <color rgb="FFFF0000"/>
      <name val="Arial Black"/>
      <family val="2"/>
    </font>
    <font>
      <b/>
      <sz val="8"/>
      <color rgb="FFFF0000"/>
      <name val="Arial"/>
      <family val="2"/>
    </font>
    <font>
      <b/>
      <sz val="9"/>
      <color rgb="FFFF0000"/>
      <name val="Arial"/>
      <family val="2"/>
    </font>
  </fonts>
  <fills count="18">
    <fill>
      <patternFill patternType="none"/>
    </fill>
    <fill>
      <patternFill patternType="gray125"/>
    </fill>
    <fill>
      <patternFill patternType="solid">
        <fgColor indexed="44"/>
        <bgColor indexed="64"/>
      </patternFill>
    </fill>
    <fill>
      <patternFill patternType="solid">
        <fgColor indexed="47"/>
        <bgColor indexed="64"/>
      </patternFill>
    </fill>
    <fill>
      <patternFill patternType="solid">
        <fgColor indexed="22"/>
        <bgColor indexed="64"/>
      </patternFill>
    </fill>
    <fill>
      <patternFill patternType="solid">
        <fgColor indexed="26"/>
        <bgColor indexed="64"/>
      </patternFill>
    </fill>
    <fill>
      <patternFill patternType="solid">
        <fgColor indexed="13"/>
        <bgColor indexed="64"/>
      </patternFill>
    </fill>
    <fill>
      <patternFill patternType="solid">
        <fgColor indexed="55"/>
        <bgColor indexed="64"/>
      </patternFill>
    </fill>
    <fill>
      <patternFill patternType="solid">
        <fgColor indexed="8"/>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theme="0" tint="-0.249977111117893"/>
        <bgColor indexed="64"/>
      </patternFill>
    </fill>
    <fill>
      <patternFill patternType="solid">
        <fgColor rgb="FFFFFFCC"/>
        <bgColor indexed="64"/>
      </patternFill>
    </fill>
    <fill>
      <patternFill patternType="solid">
        <fgColor theme="0"/>
        <bgColor indexed="64"/>
      </patternFill>
    </fill>
    <fill>
      <patternFill patternType="solid">
        <fgColor rgb="FFC0C0C0"/>
        <bgColor indexed="64"/>
      </patternFill>
    </fill>
  </fills>
  <borders count="151">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thin">
        <color indexed="55"/>
      </bottom>
      <diagonal/>
    </border>
    <border>
      <left/>
      <right/>
      <top style="thin">
        <color indexed="55"/>
      </top>
      <bottom style="thin">
        <color indexed="55"/>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theme="1"/>
      </left>
      <right style="medium">
        <color indexed="64"/>
      </right>
      <top/>
      <bottom style="thin">
        <color indexed="64"/>
      </bottom>
      <diagonal/>
    </border>
    <border>
      <left/>
      <right style="thin">
        <color indexed="64"/>
      </right>
      <top style="thin">
        <color indexed="64"/>
      </top>
      <bottom style="medium">
        <color theme="1"/>
      </bottom>
      <diagonal/>
    </border>
    <border>
      <left style="medium">
        <color theme="1"/>
      </left>
      <right style="medium">
        <color indexed="64"/>
      </right>
      <top/>
      <bottom style="medium">
        <color indexed="64"/>
      </bottom>
      <diagonal/>
    </border>
    <border>
      <left style="medium">
        <color theme="1"/>
      </left>
      <right style="medium">
        <color indexed="64"/>
      </right>
      <top/>
      <bottom style="medium">
        <color theme="1"/>
      </bottom>
      <diagonal/>
    </border>
    <border>
      <left style="medium">
        <color theme="1"/>
      </left>
      <right/>
      <top style="medium">
        <color theme="1"/>
      </top>
      <bottom style="medium">
        <color indexed="64"/>
      </bottom>
      <diagonal/>
    </border>
    <border>
      <left/>
      <right/>
      <top style="medium">
        <color theme="1"/>
      </top>
      <bottom style="medium">
        <color indexed="64"/>
      </bottom>
      <diagonal/>
    </border>
    <border>
      <left/>
      <right/>
      <top style="medium">
        <color theme="1"/>
      </top>
      <bottom/>
      <diagonal/>
    </border>
    <border>
      <left/>
      <right style="medium">
        <color theme="1"/>
      </right>
      <top style="medium">
        <color theme="1"/>
      </top>
      <bottom style="medium">
        <color indexed="64"/>
      </bottom>
      <diagonal/>
    </border>
    <border>
      <left style="medium">
        <color indexed="64"/>
      </left>
      <right style="medium">
        <color indexed="64"/>
      </right>
      <top style="thin">
        <color theme="1"/>
      </top>
      <bottom style="thin">
        <color theme="1"/>
      </bottom>
      <diagonal/>
    </border>
    <border>
      <left style="medium">
        <color indexed="64"/>
      </left>
      <right style="medium">
        <color indexed="64"/>
      </right>
      <top style="medium">
        <color indexed="64"/>
      </top>
      <bottom style="thin">
        <color theme="1"/>
      </bottom>
      <diagonal/>
    </border>
    <border>
      <left style="thin">
        <color indexed="64"/>
      </left>
      <right style="medium">
        <color theme="1"/>
      </right>
      <top style="thin">
        <color indexed="64"/>
      </top>
      <bottom/>
      <diagonal/>
    </border>
    <border>
      <left style="thin">
        <color indexed="64"/>
      </left>
      <right style="medium">
        <color theme="1"/>
      </right>
      <top style="thin">
        <color indexed="64"/>
      </top>
      <bottom style="thin">
        <color indexed="64"/>
      </bottom>
      <diagonal/>
    </border>
    <border>
      <left style="thin">
        <color indexed="64"/>
      </left>
      <right style="medium">
        <color theme="1"/>
      </right>
      <top/>
      <bottom style="thin">
        <color indexed="64"/>
      </bottom>
      <diagonal/>
    </border>
    <border>
      <left style="thin">
        <color indexed="64"/>
      </left>
      <right style="medium">
        <color theme="1"/>
      </right>
      <top style="medium">
        <color indexed="64"/>
      </top>
      <bottom style="medium">
        <color indexed="64"/>
      </bottom>
      <diagonal/>
    </border>
    <border>
      <left style="medium">
        <color theme="1"/>
      </left>
      <right style="thin">
        <color theme="1"/>
      </right>
      <top style="thin">
        <color theme="1"/>
      </top>
      <bottom/>
      <diagonal/>
    </border>
    <border>
      <left style="thin">
        <color theme="1"/>
      </left>
      <right/>
      <top style="thin">
        <color theme="1"/>
      </top>
      <bottom/>
      <diagonal/>
    </border>
    <border>
      <left style="medium">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medium">
        <color theme="1"/>
      </left>
      <right style="thin">
        <color theme="1"/>
      </right>
      <top style="medium">
        <color indexed="64"/>
      </top>
      <bottom style="thin">
        <color theme="1"/>
      </bottom>
      <diagonal/>
    </border>
    <border>
      <left style="thin">
        <color theme="1"/>
      </left>
      <right/>
      <top style="medium">
        <color indexed="64"/>
      </top>
      <bottom style="thin">
        <color theme="1"/>
      </bottom>
      <diagonal/>
    </border>
    <border>
      <left style="thin">
        <color theme="1"/>
      </left>
      <right style="medium">
        <color theme="1"/>
      </right>
      <top style="thin">
        <color theme="1"/>
      </top>
      <bottom/>
      <diagonal/>
    </border>
    <border>
      <left style="thin">
        <color theme="1"/>
      </left>
      <right style="medium">
        <color theme="1"/>
      </right>
      <top style="thin">
        <color theme="1"/>
      </top>
      <bottom style="thin">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medium">
        <color indexed="64"/>
      </bottom>
      <diagonal/>
    </border>
    <border>
      <left style="thin">
        <color theme="1"/>
      </left>
      <right/>
      <top style="thin">
        <color theme="1"/>
      </top>
      <bottom style="medium">
        <color indexed="64"/>
      </bottom>
      <diagonal/>
    </border>
    <border>
      <left style="medium">
        <color theme="1"/>
      </left>
      <right style="thin">
        <color theme="1"/>
      </right>
      <top style="thin">
        <color indexed="64"/>
      </top>
      <bottom style="thin">
        <color theme="1"/>
      </bottom>
      <diagonal/>
    </border>
    <border>
      <left style="thin">
        <color theme="1"/>
      </left>
      <right/>
      <top style="thin">
        <color indexed="64"/>
      </top>
      <bottom style="thin">
        <color theme="1"/>
      </bottom>
      <diagonal/>
    </border>
    <border>
      <left style="medium">
        <color theme="1"/>
      </left>
      <right style="thin">
        <color theme="1"/>
      </right>
      <top style="thin">
        <color theme="1"/>
      </top>
      <bottom style="thin">
        <color indexed="64"/>
      </bottom>
      <diagonal/>
    </border>
    <border>
      <left style="thin">
        <color theme="1"/>
      </left>
      <right/>
      <top style="thin">
        <color theme="1"/>
      </top>
      <bottom style="thin">
        <color indexed="64"/>
      </bottom>
      <diagonal/>
    </border>
    <border>
      <left style="medium">
        <color theme="1"/>
      </left>
      <right style="thin">
        <color theme="1"/>
      </right>
      <top/>
      <bottom style="thin">
        <color theme="1"/>
      </bottom>
      <diagonal/>
    </border>
    <border>
      <left style="thin">
        <color theme="1"/>
      </left>
      <right/>
      <top/>
      <bottom style="thin">
        <color theme="1"/>
      </bottom>
      <diagonal/>
    </border>
    <border>
      <left/>
      <right style="medium">
        <color theme="1"/>
      </right>
      <top style="thin">
        <color indexed="64"/>
      </top>
      <bottom style="thin">
        <color indexed="64"/>
      </bottom>
      <diagonal/>
    </border>
    <border>
      <left/>
      <right style="medium">
        <color theme="1"/>
      </right>
      <top/>
      <bottom/>
      <diagonal/>
    </border>
    <border>
      <left style="medium">
        <color theme="1"/>
      </left>
      <right/>
      <top style="thin">
        <color indexed="64"/>
      </top>
      <bottom style="thin">
        <color indexed="64"/>
      </bottom>
      <diagonal/>
    </border>
    <border>
      <left style="thin">
        <color indexed="64"/>
      </left>
      <right/>
      <top style="thin">
        <color indexed="64"/>
      </top>
      <bottom style="medium">
        <color theme="1"/>
      </bottom>
      <diagonal/>
    </border>
    <border>
      <left style="medium">
        <color theme="1"/>
      </left>
      <right style="thin">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thin">
        <color indexed="64"/>
      </left>
      <right style="medium">
        <color theme="1"/>
      </right>
      <top style="medium">
        <color theme="1"/>
      </top>
      <bottom style="thin">
        <color indexed="64"/>
      </bottom>
      <diagonal/>
    </border>
    <border>
      <left style="medium">
        <color theme="1"/>
      </left>
      <right/>
      <top style="thin">
        <color indexed="64"/>
      </top>
      <bottom style="medium">
        <color theme="1"/>
      </bottom>
      <diagonal/>
    </border>
    <border>
      <left/>
      <right/>
      <top style="thin">
        <color indexed="64"/>
      </top>
      <bottom style="medium">
        <color theme="1"/>
      </bottom>
      <diagonal/>
    </border>
    <border>
      <left style="medium">
        <color indexed="64"/>
      </left>
      <right/>
      <top style="thin">
        <color indexed="64"/>
      </top>
      <bottom style="medium">
        <color theme="1"/>
      </bottom>
      <diagonal/>
    </border>
    <border>
      <left/>
      <right style="medium">
        <color indexed="64"/>
      </right>
      <top style="thin">
        <color indexed="64"/>
      </top>
      <bottom style="medium">
        <color theme="1"/>
      </bottom>
      <diagonal/>
    </border>
    <border>
      <left style="medium">
        <color theme="1"/>
      </left>
      <right/>
      <top/>
      <bottom style="medium">
        <color theme="1"/>
      </bottom>
      <diagonal/>
    </border>
    <border>
      <left/>
      <right style="medium">
        <color theme="1"/>
      </right>
      <top/>
      <bottom style="medium">
        <color theme="1"/>
      </bottom>
      <diagonal/>
    </border>
    <border>
      <left/>
      <right style="medium">
        <color theme="1"/>
      </right>
      <top style="thin">
        <color indexed="64"/>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style="thin">
        <color indexed="64"/>
      </right>
      <top style="thin">
        <color indexed="64"/>
      </top>
      <bottom style="thin">
        <color indexed="64"/>
      </bottom>
      <diagonal/>
    </border>
    <border>
      <left style="medium">
        <color theme="1"/>
      </left>
      <right style="medium">
        <color indexed="64"/>
      </right>
      <top style="medium">
        <color theme="1"/>
      </top>
      <bottom style="medium">
        <color indexed="64"/>
      </bottom>
      <diagonal/>
    </border>
    <border>
      <left/>
      <right style="medium">
        <color theme="1"/>
      </right>
      <top style="medium">
        <color indexed="64"/>
      </top>
      <bottom style="thin">
        <color indexed="64"/>
      </bottom>
      <diagonal/>
    </border>
    <border>
      <left style="medium">
        <color indexed="64"/>
      </left>
      <right/>
      <top style="medium">
        <color theme="1"/>
      </top>
      <bottom style="medium">
        <color indexed="64"/>
      </bottom>
      <diagonal/>
    </border>
    <border>
      <left style="thin">
        <color indexed="64"/>
      </left>
      <right/>
      <top style="medium">
        <color theme="1"/>
      </top>
      <bottom style="medium">
        <color indexed="64"/>
      </bottom>
      <diagonal/>
    </border>
    <border>
      <left/>
      <right style="medium">
        <color indexed="64"/>
      </right>
      <top style="medium">
        <color theme="1"/>
      </top>
      <bottom style="medium">
        <color indexed="64"/>
      </bottom>
      <diagonal/>
    </border>
    <border>
      <left/>
      <right style="medium">
        <color theme="1"/>
      </right>
      <top style="medium">
        <color indexed="64"/>
      </top>
      <bottom/>
      <diagonal/>
    </border>
    <border>
      <left/>
      <right style="medium">
        <color theme="1"/>
      </right>
      <top/>
      <bottom style="thin">
        <color indexed="64"/>
      </bottom>
      <diagonal/>
    </border>
    <border>
      <left/>
      <right style="medium">
        <color theme="1"/>
      </right>
      <top style="thin">
        <color indexed="64"/>
      </top>
      <bottom/>
      <diagonal/>
    </border>
    <border>
      <left style="medium">
        <color theme="1"/>
      </left>
      <right style="thin">
        <color theme="1"/>
      </right>
      <top/>
      <bottom/>
      <diagonal/>
    </border>
    <border>
      <left style="thin">
        <color theme="1"/>
      </left>
      <right style="medium">
        <color theme="1"/>
      </right>
      <top/>
      <bottom/>
      <diagonal/>
    </border>
    <border>
      <left style="thin">
        <color indexed="64"/>
      </left>
      <right/>
      <top style="medium">
        <color indexed="64"/>
      </top>
      <bottom/>
      <diagonal/>
    </border>
    <border>
      <left style="medium">
        <color theme="1"/>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ck">
        <color indexed="64"/>
      </right>
      <top style="medium">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medium">
        <color indexed="64"/>
      </bottom>
      <diagonal/>
    </border>
    <border>
      <left style="medium">
        <color theme="1"/>
      </left>
      <right style="thin">
        <color theme="1"/>
      </right>
      <top style="thin">
        <color indexed="64"/>
      </top>
      <bottom style="medium">
        <color indexed="64"/>
      </bottom>
      <diagonal/>
    </border>
    <border>
      <left style="thin">
        <color theme="1"/>
      </left>
      <right/>
      <top style="thin">
        <color indexed="64"/>
      </top>
      <bottom style="medium">
        <color indexed="64"/>
      </bottom>
      <diagonal/>
    </border>
    <border>
      <left style="medium">
        <color theme="1"/>
      </left>
      <right/>
      <top style="medium">
        <color theme="1"/>
      </top>
      <bottom style="thin">
        <color indexed="64"/>
      </bottom>
      <diagonal/>
    </border>
    <border>
      <left/>
      <right/>
      <top style="medium">
        <color theme="1"/>
      </top>
      <bottom style="thin">
        <color indexed="64"/>
      </bottom>
      <diagonal/>
    </border>
    <border>
      <left/>
      <right style="medium">
        <color theme="1"/>
      </right>
      <top style="medium">
        <color theme="1"/>
      </top>
      <bottom style="thin">
        <color indexed="64"/>
      </bottom>
      <diagonal/>
    </border>
  </borders>
  <cellStyleXfs count="14">
    <xf numFmtId="0" fontId="0" fillId="0" borderId="0"/>
    <xf numFmtId="43" fontId="5" fillId="0" borderId="0" applyFont="0" applyFill="0" applyBorder="0" applyAlignment="0" applyProtection="0"/>
    <xf numFmtId="43" fontId="19" fillId="0" borderId="0" applyFont="0" applyFill="0" applyBorder="0" applyAlignment="0" applyProtection="0"/>
    <xf numFmtId="43" fontId="17" fillId="0" borderId="0" applyFont="0" applyFill="0" applyBorder="0" applyAlignment="0" applyProtection="0"/>
    <xf numFmtId="44" fontId="5" fillId="0" borderId="0" applyFont="0" applyFill="0" applyBorder="0" applyAlignment="0" applyProtection="0"/>
    <xf numFmtId="44" fontId="19" fillId="0" borderId="0" applyFont="0" applyFill="0" applyBorder="0" applyAlignment="0" applyProtection="0"/>
    <xf numFmtId="44" fontId="17" fillId="0" borderId="0" applyFont="0" applyFill="0" applyBorder="0" applyAlignment="0" applyProtection="0"/>
    <xf numFmtId="0" fontId="17" fillId="2" borderId="0" applyNumberFormat="0" applyAlignment="0">
      <alignment horizontal="right"/>
    </xf>
    <xf numFmtId="0" fontId="17" fillId="3" borderId="0" applyNumberFormat="0" applyAlignment="0"/>
    <xf numFmtId="0" fontId="9"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44" fillId="0" borderId="0"/>
    <xf numFmtId="0" fontId="17" fillId="0" borderId="0"/>
    <xf numFmtId="9" fontId="19" fillId="0" borderId="0" applyFont="0" applyFill="0" applyBorder="0" applyAlignment="0" applyProtection="0"/>
  </cellStyleXfs>
  <cellXfs count="793">
    <xf numFmtId="0" fontId="0" fillId="0" borderId="0" xfId="0"/>
    <xf numFmtId="0" fontId="7" fillId="0" borderId="0" xfId="0" applyFont="1"/>
    <xf numFmtId="0" fontId="13" fillId="0" borderId="0" xfId="0" applyFont="1" applyAlignment="1">
      <alignment vertical="center"/>
    </xf>
    <xf numFmtId="0" fontId="0" fillId="0" borderId="1" xfId="0" applyBorder="1"/>
    <xf numFmtId="0" fontId="0" fillId="0" borderId="1" xfId="0" applyBorder="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15" fillId="0" borderId="0" xfId="0" applyFont="1" applyAlignment="1">
      <alignment horizontal="center" vertical="center"/>
    </xf>
    <xf numFmtId="6" fontId="7" fillId="0" borderId="2" xfId="0" applyNumberFormat="1" applyFont="1" applyBorder="1" applyAlignment="1">
      <alignment horizontal="center" vertical="center"/>
    </xf>
    <xf numFmtId="0" fontId="11" fillId="0" borderId="0" xfId="0" applyFont="1"/>
    <xf numFmtId="0" fontId="11" fillId="0" borderId="0" xfId="0" applyFont="1" applyAlignment="1">
      <alignment vertical="top"/>
    </xf>
    <xf numFmtId="0" fontId="11" fillId="0" borderId="0" xfId="0" applyFont="1" applyAlignment="1">
      <alignment horizontal="center" vertical="center"/>
    </xf>
    <xf numFmtId="0" fontId="10" fillId="0" borderId="0" xfId="0" applyFont="1" applyAlignment="1">
      <alignment horizontal="center" vertical="center"/>
    </xf>
    <xf numFmtId="44" fontId="10" fillId="0" borderId="0" xfId="0" applyNumberFormat="1" applyFont="1" applyAlignment="1">
      <alignment horizontal="center" vertical="center"/>
    </xf>
    <xf numFmtId="0" fontId="10" fillId="0" borderId="0" xfId="0" applyFont="1"/>
    <xf numFmtId="49" fontId="0" fillId="0" borderId="0" xfId="0" applyNumberFormat="1" applyAlignment="1">
      <alignment horizontal="left" vertical="center"/>
    </xf>
    <xf numFmtId="44" fontId="8" fillId="0" borderId="0" xfId="0" applyNumberFormat="1" applyFont="1" applyAlignment="1">
      <alignment vertical="center"/>
    </xf>
    <xf numFmtId="49" fontId="8" fillId="4" borderId="3" xfId="0" quotePrefix="1" applyNumberFormat="1" applyFont="1" applyFill="1" applyBorder="1" applyAlignment="1">
      <alignment horizontal="left" vertical="center"/>
    </xf>
    <xf numFmtId="0" fontId="0" fillId="4" borderId="4" xfId="0" applyFill="1" applyBorder="1"/>
    <xf numFmtId="0" fontId="8" fillId="4" borderId="2" xfId="0" applyFont="1" applyFill="1" applyBorder="1" applyAlignment="1">
      <alignment horizontal="center" wrapText="1"/>
    </xf>
    <xf numFmtId="0" fontId="7" fillId="0" borderId="2" xfId="0" applyFont="1" applyBorder="1" applyAlignment="1">
      <alignment horizontal="center" vertical="center"/>
    </xf>
    <xf numFmtId="0" fontId="12" fillId="0" borderId="0" xfId="0" quotePrefix="1" applyFont="1" applyAlignment="1">
      <alignment horizontal="left"/>
    </xf>
    <xf numFmtId="0" fontId="10" fillId="0" borderId="0" xfId="0" quotePrefix="1" applyFont="1"/>
    <xf numFmtId="0" fontId="8" fillId="0" borderId="0" xfId="0" quotePrefix="1" applyFont="1"/>
    <xf numFmtId="0" fontId="6" fillId="0" borderId="0" xfId="0" applyFont="1"/>
    <xf numFmtId="0" fontId="6" fillId="0" borderId="0" xfId="0" applyFont="1" applyAlignment="1">
      <alignment vertical="center"/>
    </xf>
    <xf numFmtId="0" fontId="44" fillId="0" borderId="0" xfId="11"/>
    <xf numFmtId="0" fontId="8" fillId="5" borderId="5" xfId="11" applyFont="1" applyFill="1" applyBorder="1" applyProtection="1">
      <protection locked="0"/>
    </xf>
    <xf numFmtId="0" fontId="7" fillId="0" borderId="0" xfId="11" applyFont="1"/>
    <xf numFmtId="0" fontId="8" fillId="5" borderId="5" xfId="11" applyFont="1" applyFill="1" applyBorder="1" applyAlignment="1" applyProtection="1">
      <alignment horizontal="left"/>
      <protection locked="0"/>
    </xf>
    <xf numFmtId="0" fontId="8" fillId="5" borderId="5" xfId="11" applyFont="1" applyFill="1" applyBorder="1"/>
    <xf numFmtId="0" fontId="20" fillId="0" borderId="0" xfId="11" applyFont="1"/>
    <xf numFmtId="0" fontId="23" fillId="0" borderId="0" xfId="11" applyFont="1" applyAlignment="1">
      <alignment horizontal="center" vertical="top"/>
    </xf>
    <xf numFmtId="14" fontId="44" fillId="0" borderId="0" xfId="11" applyNumberFormat="1"/>
    <xf numFmtId="0" fontId="44" fillId="0" borderId="0" xfId="11" applyAlignment="1">
      <alignment horizontal="center"/>
    </xf>
    <xf numFmtId="0" fontId="44" fillId="0" borderId="0" xfId="11" applyAlignment="1">
      <alignment wrapText="1"/>
    </xf>
    <xf numFmtId="0" fontId="24" fillId="0" borderId="0" xfId="11" applyFont="1" applyAlignment="1">
      <alignment vertical="center"/>
    </xf>
    <xf numFmtId="0" fontId="26" fillId="0" borderId="0" xfId="11" applyFont="1"/>
    <xf numFmtId="0" fontId="27" fillId="0" borderId="0" xfId="11" applyFont="1" applyAlignment="1">
      <alignment horizontal="center"/>
    </xf>
    <xf numFmtId="0" fontId="26" fillId="0" borderId="6" xfId="11" applyFont="1" applyBorder="1" applyAlignment="1">
      <alignment horizontal="left"/>
    </xf>
    <xf numFmtId="5" fontId="26" fillId="0" borderId="6" xfId="5" applyNumberFormat="1" applyFont="1" applyBorder="1" applyAlignment="1">
      <alignment horizontal="center"/>
    </xf>
    <xf numFmtId="5" fontId="26" fillId="0" borderId="6" xfId="11" applyNumberFormat="1" applyFont="1" applyBorder="1" applyAlignment="1">
      <alignment horizontal="center"/>
    </xf>
    <xf numFmtId="0" fontId="26" fillId="0" borderId="7" xfId="11" applyFont="1" applyBorder="1" applyAlignment="1">
      <alignment horizontal="left"/>
    </xf>
    <xf numFmtId="39" fontId="26" fillId="0" borderId="7" xfId="2" applyNumberFormat="1" applyFont="1" applyBorder="1" applyAlignment="1">
      <alignment horizontal="center"/>
    </xf>
    <xf numFmtId="7" fontId="44" fillId="0" borderId="0" xfId="11" applyNumberFormat="1"/>
    <xf numFmtId="0" fontId="44" fillId="0" borderId="0" xfId="11" applyAlignment="1">
      <alignment horizontal="right"/>
    </xf>
    <xf numFmtId="5" fontId="44" fillId="0" borderId="0" xfId="11" applyNumberFormat="1"/>
    <xf numFmtId="0" fontId="26" fillId="0" borderId="6" xfId="11" applyFont="1" applyBorder="1"/>
    <xf numFmtId="0" fontId="26" fillId="0" borderId="7" xfId="11" applyFont="1" applyBorder="1"/>
    <xf numFmtId="0" fontId="26" fillId="0" borderId="0" xfId="11" applyFont="1" applyAlignment="1">
      <alignment horizontal="right"/>
    </xf>
    <xf numFmtId="166" fontId="27" fillId="0" borderId="0" xfId="2" applyNumberFormat="1" applyFont="1" applyAlignment="1">
      <alignment horizontal="center"/>
    </xf>
    <xf numFmtId="166" fontId="26" fillId="0" borderId="0" xfId="11" applyNumberFormat="1" applyFont="1"/>
    <xf numFmtId="165" fontId="26" fillId="0" borderId="0" xfId="11" applyNumberFormat="1" applyFont="1"/>
    <xf numFmtId="43" fontId="26" fillId="0" borderId="0" xfId="11" applyNumberFormat="1" applyFont="1"/>
    <xf numFmtId="0" fontId="26" fillId="0" borderId="8" xfId="11" applyFont="1" applyBorder="1"/>
    <xf numFmtId="0" fontId="44" fillId="0" borderId="8" xfId="11" applyBorder="1"/>
    <xf numFmtId="0" fontId="18" fillId="0" borderId="0" xfId="11" applyFont="1" applyAlignment="1">
      <alignment horizontal="left"/>
    </xf>
    <xf numFmtId="0" fontId="28" fillId="0" borderId="0" xfId="11" applyFont="1" applyAlignment="1">
      <alignment horizontal="center"/>
    </xf>
    <xf numFmtId="0" fontId="29" fillId="0" borderId="0" xfId="11" applyFont="1" applyAlignment="1">
      <alignment horizontal="center"/>
    </xf>
    <xf numFmtId="0" fontId="28" fillId="0" borderId="0" xfId="11" applyFont="1" applyAlignment="1">
      <alignment horizontal="right"/>
    </xf>
    <xf numFmtId="44" fontId="28" fillId="0" borderId="0" xfId="5" applyFont="1"/>
    <xf numFmtId="169" fontId="28" fillId="0" borderId="0" xfId="5" applyNumberFormat="1" applyFont="1"/>
    <xf numFmtId="14" fontId="28" fillId="0" borderId="0" xfId="11" applyNumberFormat="1" applyFont="1"/>
    <xf numFmtId="0" fontId="0" fillId="0" borderId="5" xfId="0" applyBorder="1"/>
    <xf numFmtId="0" fontId="17" fillId="0" borderId="0" xfId="0" applyFont="1"/>
    <xf numFmtId="0" fontId="17" fillId="0" borderId="0" xfId="0" applyFont="1" applyAlignment="1">
      <alignment horizontal="right"/>
    </xf>
    <xf numFmtId="0" fontId="0" fillId="0" borderId="0" xfId="0" applyAlignment="1">
      <alignment horizontal="right"/>
    </xf>
    <xf numFmtId="0" fontId="30" fillId="0" borderId="0" xfId="0" applyFont="1"/>
    <xf numFmtId="0" fontId="30" fillId="0" borderId="0" xfId="0" applyFont="1" applyAlignment="1">
      <alignment horizontal="left"/>
    </xf>
    <xf numFmtId="0" fontId="7" fillId="0" borderId="0" xfId="0" applyFont="1" applyAlignment="1">
      <alignment horizontal="center"/>
    </xf>
    <xf numFmtId="0" fontId="7" fillId="0" borderId="5" xfId="0" applyFont="1" applyBorder="1"/>
    <xf numFmtId="7" fontId="0" fillId="0" borderId="0" xfId="0" applyNumberFormat="1"/>
    <xf numFmtId="0" fontId="7" fillId="0" borderId="0" xfId="0" applyFont="1" applyProtection="1">
      <protection locked="0"/>
    </xf>
    <xf numFmtId="0" fontId="7" fillId="0" borderId="0" xfId="0" applyFont="1" applyAlignment="1">
      <alignment horizontal="right"/>
    </xf>
    <xf numFmtId="0" fontId="7" fillId="0" borderId="0" xfId="0" applyFont="1" applyAlignment="1">
      <alignment horizontal="left"/>
    </xf>
    <xf numFmtId="0" fontId="32" fillId="0" borderId="0" xfId="0" applyFont="1" applyProtection="1">
      <protection locked="0"/>
    </xf>
    <xf numFmtId="0" fontId="7" fillId="0" borderId="2" xfId="0" applyFont="1" applyBorder="1" applyAlignment="1">
      <alignment horizontal="left" vertical="center"/>
    </xf>
    <xf numFmtId="0" fontId="7" fillId="0" borderId="5" xfId="0" applyFont="1" applyBorder="1" applyAlignment="1">
      <alignment horizontal="left"/>
    </xf>
    <xf numFmtId="0" fontId="10" fillId="0" borderId="0" xfId="0" applyFont="1" applyAlignment="1">
      <alignment horizontal="left" vertical="top"/>
    </xf>
    <xf numFmtId="44" fontId="26" fillId="0" borderId="6" xfId="11" applyNumberFormat="1" applyFont="1" applyBorder="1"/>
    <xf numFmtId="44" fontId="27" fillId="0" borderId="7" xfId="11" applyNumberFormat="1" applyFont="1" applyBorder="1"/>
    <xf numFmtId="167" fontId="0" fillId="0" borderId="0" xfId="0" applyNumberFormat="1" applyAlignment="1">
      <alignment horizontal="right"/>
    </xf>
    <xf numFmtId="167" fontId="30" fillId="0" borderId="0" xfId="0" applyNumberFormat="1" applyFont="1" applyAlignment="1">
      <alignment horizontal="left"/>
    </xf>
    <xf numFmtId="167" fontId="17" fillId="0" borderId="0" xfId="0" applyNumberFormat="1" applyFont="1" applyAlignment="1">
      <alignment horizontal="right"/>
    </xf>
    <xf numFmtId="167" fontId="0" fillId="0" borderId="0" xfId="0" applyNumberFormat="1"/>
    <xf numFmtId="0" fontId="7" fillId="0" borderId="0" xfId="0" applyFont="1" applyAlignment="1">
      <alignment horizontal="center" vertical="center"/>
    </xf>
    <xf numFmtId="0" fontId="8" fillId="7" borderId="2" xfId="0" applyFont="1" applyFill="1" applyBorder="1" applyAlignment="1">
      <alignment horizontal="center" vertical="center"/>
    </xf>
    <xf numFmtId="44" fontId="8" fillId="7" borderId="17" xfId="0" applyNumberFormat="1" applyFont="1" applyFill="1" applyBorder="1" applyAlignment="1">
      <alignment horizontal="center" vertical="center"/>
    </xf>
    <xf numFmtId="44" fontId="8" fillId="7" borderId="2" xfId="0" applyNumberFormat="1" applyFont="1" applyFill="1" applyBorder="1" applyAlignment="1">
      <alignment horizontal="center" vertical="center"/>
    </xf>
    <xf numFmtId="39" fontId="8" fillId="7" borderId="2" xfId="1" applyNumberFormat="1" applyFont="1" applyFill="1" applyBorder="1" applyAlignment="1">
      <alignment horizontal="center" vertical="center"/>
    </xf>
    <xf numFmtId="44" fontId="8" fillId="7" borderId="14" xfId="0" applyNumberFormat="1" applyFont="1" applyFill="1" applyBorder="1" applyAlignment="1">
      <alignment horizontal="center" vertical="center"/>
    </xf>
    <xf numFmtId="0" fontId="11" fillId="0" borderId="0" xfId="0" applyFont="1" applyAlignment="1">
      <alignment horizontal="center"/>
    </xf>
    <xf numFmtId="0" fontId="7" fillId="0" borderId="2" xfId="0" applyFont="1" applyBorder="1" applyAlignment="1">
      <alignment horizontal="left" vertical="center" wrapText="1"/>
    </xf>
    <xf numFmtId="0" fontId="34" fillId="0" borderId="4" xfId="0" applyFont="1" applyBorder="1" applyAlignment="1">
      <alignment horizontal="right"/>
    </xf>
    <xf numFmtId="0" fontId="11" fillId="0" borderId="0" xfId="0" applyFont="1" applyAlignment="1">
      <alignment vertical="center" wrapText="1"/>
    </xf>
    <xf numFmtId="0" fontId="17" fillId="0" borderId="2" xfId="0" applyFont="1" applyBorder="1"/>
    <xf numFmtId="0" fontId="0" fillId="0" borderId="2" xfId="0" applyBorder="1"/>
    <xf numFmtId="0" fontId="0" fillId="0" borderId="3" xfId="0" applyBorder="1"/>
    <xf numFmtId="0" fontId="0" fillId="0" borderId="17" xfId="0" applyBorder="1"/>
    <xf numFmtId="49" fontId="0" fillId="0" borderId="0" xfId="0" applyNumberFormat="1"/>
    <xf numFmtId="14" fontId="44" fillId="9" borderId="0" xfId="11" applyNumberFormat="1" applyFill="1"/>
    <xf numFmtId="0" fontId="44" fillId="9" borderId="0" xfId="11" applyFill="1" applyAlignment="1">
      <alignment horizontal="center"/>
    </xf>
    <xf numFmtId="0" fontId="44" fillId="9" borderId="0" xfId="11" applyFill="1" applyAlignment="1">
      <alignment wrapText="1"/>
    </xf>
    <xf numFmtId="0" fontId="44" fillId="9" borderId="0" xfId="11" applyFill="1"/>
    <xf numFmtId="14" fontId="18" fillId="9" borderId="0" xfId="11" applyNumberFormat="1" applyFont="1" applyFill="1" applyAlignment="1">
      <alignment horizontal="center" wrapText="1"/>
    </xf>
    <xf numFmtId="0" fontId="18" fillId="9" borderId="0" xfId="11" applyFont="1" applyFill="1" applyAlignment="1">
      <alignment horizontal="center" wrapText="1"/>
    </xf>
    <xf numFmtId="0" fontId="33" fillId="9" borderId="0" xfId="11" applyFont="1" applyFill="1" applyAlignment="1">
      <alignment horizontal="center"/>
    </xf>
    <xf numFmtId="0" fontId="33" fillId="9" borderId="0" xfId="11" applyFont="1" applyFill="1" applyAlignment="1">
      <alignment wrapText="1"/>
    </xf>
    <xf numFmtId="0" fontId="47" fillId="0" borderId="0" xfId="11" applyFont="1" applyAlignment="1">
      <alignment wrapText="1"/>
    </xf>
    <xf numFmtId="44" fontId="26" fillId="0" borderId="7" xfId="11" applyNumberFormat="1" applyFont="1" applyBorder="1"/>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9"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7" fillId="0" borderId="0" xfId="11" applyFont="1" applyAlignment="1">
      <alignment wrapText="1"/>
    </xf>
    <xf numFmtId="0" fontId="7" fillId="0" borderId="2" xfId="0" applyFont="1" applyBorder="1"/>
    <xf numFmtId="0" fontId="8" fillId="4" borderId="3" xfId="0" applyFont="1" applyFill="1" applyBorder="1" applyAlignment="1">
      <alignment wrapText="1"/>
    </xf>
    <xf numFmtId="0" fontId="8" fillId="4" borderId="4" xfId="0" applyFont="1" applyFill="1" applyBorder="1" applyAlignment="1">
      <alignment wrapText="1"/>
    </xf>
    <xf numFmtId="170" fontId="7" fillId="0" borderId="3" xfId="0" applyNumberFormat="1" applyFont="1" applyBorder="1" applyAlignment="1">
      <alignment horizontal="center" vertical="center"/>
    </xf>
    <xf numFmtId="0" fontId="10" fillId="0" borderId="20" xfId="0" applyFont="1" applyBorder="1" applyAlignment="1">
      <alignment vertical="center" wrapText="1"/>
    </xf>
    <xf numFmtId="0" fontId="5" fillId="0" borderId="2" xfId="0" applyFont="1" applyBorder="1" applyAlignment="1">
      <alignment horizontal="left" vertical="center"/>
    </xf>
    <xf numFmtId="0" fontId="14" fillId="7" borderId="2" xfId="0" applyFont="1" applyFill="1" applyBorder="1" applyAlignment="1">
      <alignment horizontal="center" vertical="center"/>
    </xf>
    <xf numFmtId="0" fontId="10" fillId="7" borderId="21" xfId="0" quotePrefix="1" applyFont="1" applyFill="1" applyBorder="1" applyAlignment="1">
      <alignment horizontal="center" vertical="center" wrapText="1"/>
    </xf>
    <xf numFmtId="0" fontId="10" fillId="7" borderId="21" xfId="0" applyFont="1" applyFill="1" applyBorder="1" applyAlignment="1">
      <alignment horizontal="center" vertical="center" wrapText="1"/>
    </xf>
    <xf numFmtId="0" fontId="10" fillId="7" borderId="22" xfId="0" quotePrefix="1" applyFont="1" applyFill="1" applyBorder="1" applyAlignment="1">
      <alignment horizontal="center" vertical="center" wrapText="1"/>
    </xf>
    <xf numFmtId="0" fontId="10" fillId="7" borderId="23" xfId="0" applyFont="1" applyFill="1" applyBorder="1" applyAlignment="1">
      <alignment horizontal="center" vertical="center" wrapText="1"/>
    </xf>
    <xf numFmtId="0" fontId="10" fillId="7" borderId="1" xfId="0" quotePrefix="1" applyFont="1" applyFill="1" applyBorder="1" applyAlignment="1">
      <alignment horizontal="center" vertical="center" wrapText="1"/>
    </xf>
    <xf numFmtId="0" fontId="10" fillId="7" borderId="1" xfId="0" applyFont="1" applyFill="1" applyBorder="1" applyAlignment="1">
      <alignment horizontal="center" vertical="center" wrapText="1"/>
    </xf>
    <xf numFmtId="0" fontId="10" fillId="7" borderId="0" xfId="0" quotePrefix="1" applyFont="1" applyFill="1" applyAlignment="1">
      <alignment horizontal="center" vertical="center" wrapText="1"/>
    </xf>
    <xf numFmtId="0" fontId="10" fillId="7" borderId="23" xfId="0" quotePrefix="1" applyFont="1" applyFill="1" applyBorder="1" applyAlignment="1">
      <alignment horizontal="center" vertical="center" wrapText="1"/>
    </xf>
    <xf numFmtId="0" fontId="14" fillId="7" borderId="3" xfId="0" applyFont="1" applyFill="1" applyBorder="1" applyAlignment="1">
      <alignment horizontal="center" vertical="center"/>
    </xf>
    <xf numFmtId="0" fontId="14" fillId="7" borderId="16" xfId="0" applyFont="1" applyFill="1" applyBorder="1" applyAlignment="1">
      <alignment horizontal="center" vertical="center"/>
    </xf>
    <xf numFmtId="0" fontId="10" fillId="7" borderId="24" xfId="0" applyFont="1" applyFill="1" applyBorder="1" applyAlignment="1">
      <alignment horizontal="center" vertical="center" wrapText="1"/>
    </xf>
    <xf numFmtId="44" fontId="8" fillId="0" borderId="18" xfId="0" applyNumberFormat="1" applyFont="1" applyBorder="1" applyAlignment="1" applyProtection="1">
      <alignment horizontal="center" vertical="center"/>
      <protection locked="0"/>
    </xf>
    <xf numFmtId="166" fontId="0" fillId="0" borderId="14" xfId="3" applyNumberFormat="1" applyFont="1" applyBorder="1" applyAlignment="1">
      <alignment vertical="center" wrapText="1"/>
    </xf>
    <xf numFmtId="166" fontId="0" fillId="0" borderId="14" xfId="3" applyNumberFormat="1" applyFont="1" applyBorder="1" applyAlignment="1">
      <alignment vertical="center"/>
    </xf>
    <xf numFmtId="0" fontId="8" fillId="4" borderId="25" xfId="0" applyFont="1" applyFill="1" applyBorder="1" applyAlignment="1">
      <alignment horizontal="center" vertical="center" wrapText="1"/>
    </xf>
    <xf numFmtId="49" fontId="5" fillId="0" borderId="0" xfId="0" applyNumberFormat="1" applyFont="1" applyAlignment="1">
      <alignment horizontal="right"/>
    </xf>
    <xf numFmtId="0" fontId="24" fillId="8" borderId="0" xfId="0" applyFont="1" applyFill="1" applyAlignment="1">
      <alignment vertical="center"/>
    </xf>
    <xf numFmtId="43" fontId="17" fillId="0" borderId="23" xfId="0" applyNumberFormat="1" applyFont="1" applyBorder="1" applyAlignment="1">
      <alignment horizontal="center" vertical="center" wrapText="1"/>
    </xf>
    <xf numFmtId="2" fontId="17" fillId="0" borderId="23" xfId="0" applyNumberFormat="1" applyFont="1" applyBorder="1" applyAlignment="1">
      <alignment horizontal="center" vertical="center"/>
    </xf>
    <xf numFmtId="0" fontId="7" fillId="0" borderId="14" xfId="0" applyFont="1" applyBorder="1" applyAlignment="1">
      <alignment horizontal="center" vertical="center"/>
    </xf>
    <xf numFmtId="0" fontId="10" fillId="0" borderId="14" xfId="0" applyFont="1" applyBorder="1" applyAlignment="1">
      <alignment horizontal="center" vertical="top" wrapText="1"/>
    </xf>
    <xf numFmtId="0" fontId="7" fillId="0" borderId="11" xfId="0" applyFont="1" applyBorder="1" applyAlignment="1">
      <alignment horizontal="center" vertical="center"/>
    </xf>
    <xf numFmtId="0" fontId="10" fillId="0" borderId="11" xfId="0" applyFont="1" applyBorder="1" applyAlignment="1">
      <alignment horizontal="center" vertical="top" wrapText="1"/>
    </xf>
    <xf numFmtId="2" fontId="17" fillId="0" borderId="23" xfId="0" applyNumberFormat="1" applyFont="1" applyBorder="1" applyAlignment="1">
      <alignment horizontal="center" vertical="center" wrapText="1"/>
    </xf>
    <xf numFmtId="0" fontId="17" fillId="0" borderId="23" xfId="0" applyFont="1" applyBorder="1" applyAlignment="1">
      <alignment horizontal="center" vertical="center" wrapText="1"/>
    </xf>
    <xf numFmtId="3" fontId="17" fillId="0" borderId="26" xfId="0" applyNumberFormat="1" applyFont="1" applyBorder="1" applyAlignment="1">
      <alignment horizontal="center" vertical="center"/>
    </xf>
    <xf numFmtId="2" fontId="17" fillId="0" borderId="5" xfId="0" applyNumberFormat="1" applyFont="1" applyBorder="1" applyAlignment="1">
      <alignment horizontal="center" vertical="center"/>
    </xf>
    <xf numFmtId="37" fontId="17" fillId="0" borderId="23" xfId="0" applyNumberFormat="1" applyFont="1" applyBorder="1" applyAlignment="1">
      <alignment horizontal="center" vertical="center"/>
    </xf>
    <xf numFmtId="0" fontId="7" fillId="4" borderId="14" xfId="0" applyFont="1" applyFill="1" applyBorder="1" applyAlignment="1">
      <alignment horizontal="center" vertical="center"/>
    </xf>
    <xf numFmtId="0" fontId="7" fillId="0" borderId="14" xfId="0" applyFont="1" applyBorder="1"/>
    <xf numFmtId="0" fontId="37" fillId="10" borderId="0" xfId="0" applyFont="1" applyFill="1"/>
    <xf numFmtId="2" fontId="37" fillId="11" borderId="23" xfId="0" applyNumberFormat="1" applyFont="1" applyFill="1" applyBorder="1" applyAlignment="1">
      <alignment horizontal="center" vertical="center"/>
    </xf>
    <xf numFmtId="2" fontId="37" fillId="12" borderId="23" xfId="0" applyNumberFormat="1" applyFont="1" applyFill="1" applyBorder="1" applyAlignment="1">
      <alignment horizontal="center" vertical="center"/>
    </xf>
    <xf numFmtId="0" fontId="0" fillId="12" borderId="8" xfId="0" applyFill="1" applyBorder="1"/>
    <xf numFmtId="0" fontId="37" fillId="13" borderId="8" xfId="0" applyFont="1" applyFill="1" applyBorder="1"/>
    <xf numFmtId="0" fontId="0" fillId="13" borderId="8" xfId="0" applyFill="1" applyBorder="1"/>
    <xf numFmtId="0" fontId="37" fillId="0" borderId="0" xfId="0" applyFont="1"/>
    <xf numFmtId="169" fontId="5" fillId="0" borderId="0" xfId="8" applyNumberFormat="1" applyFont="1" applyFill="1"/>
    <xf numFmtId="168" fontId="5" fillId="0" borderId="0" xfId="8" applyNumberFormat="1" applyFont="1" applyFill="1"/>
    <xf numFmtId="2" fontId="7" fillId="0" borderId="0" xfId="0" applyNumberFormat="1" applyFont="1"/>
    <xf numFmtId="14" fontId="7" fillId="0" borderId="0" xfId="0" applyNumberFormat="1" applyFont="1"/>
    <xf numFmtId="0" fontId="36" fillId="0" borderId="0" xfId="0" applyFont="1"/>
    <xf numFmtId="2" fontId="5" fillId="3" borderId="0" xfId="8" applyNumberFormat="1" applyFont="1"/>
    <xf numFmtId="0" fontId="14" fillId="0" borderId="0" xfId="0" applyFont="1"/>
    <xf numFmtId="2" fontId="37" fillId="13" borderId="23" xfId="0" applyNumberFormat="1" applyFont="1" applyFill="1" applyBorder="1" applyAlignment="1">
      <alignment horizontal="center" vertical="center"/>
    </xf>
    <xf numFmtId="2" fontId="5" fillId="0" borderId="0" xfId="8" applyNumberFormat="1" applyFont="1" applyFill="1"/>
    <xf numFmtId="39" fontId="8" fillId="0" borderId="2" xfId="1" applyNumberFormat="1" applyFont="1" applyFill="1" applyBorder="1" applyAlignment="1" applyProtection="1">
      <alignment horizontal="center" vertical="center"/>
      <protection locked="0"/>
    </xf>
    <xf numFmtId="39" fontId="8" fillId="0" borderId="2" xfId="1" applyNumberFormat="1" applyFont="1" applyBorder="1" applyAlignment="1" applyProtection="1">
      <alignment horizontal="center" vertical="center"/>
      <protection locked="0"/>
    </xf>
    <xf numFmtId="0" fontId="0" fillId="14" borderId="17" xfId="0" applyFill="1" applyBorder="1"/>
    <xf numFmtId="0" fontId="11" fillId="0" borderId="0" xfId="0" applyFont="1" applyAlignment="1">
      <alignment vertical="center"/>
    </xf>
    <xf numFmtId="0" fontId="7" fillId="0" borderId="0" xfId="0" applyFont="1" applyAlignment="1">
      <alignment vertical="center"/>
    </xf>
    <xf numFmtId="5" fontId="48" fillId="0" borderId="0" xfId="11" applyNumberFormat="1" applyFont="1"/>
    <xf numFmtId="0" fontId="46" fillId="0" borderId="0" xfId="11" applyFont="1"/>
    <xf numFmtId="0" fontId="7" fillId="0" borderId="0" xfId="0" applyFont="1" applyAlignment="1">
      <alignment horizontal="center" vertical="top"/>
    </xf>
    <xf numFmtId="0" fontId="7" fillId="0" borderId="0" xfId="0" applyFont="1" applyAlignment="1">
      <alignment horizontal="left" vertical="center"/>
    </xf>
    <xf numFmtId="0" fontId="5" fillId="0" borderId="0" xfId="0" applyFont="1"/>
    <xf numFmtId="0" fontId="0" fillId="0" borderId="0" xfId="0" applyAlignment="1">
      <alignment horizontal="center" vertical="top"/>
    </xf>
    <xf numFmtId="0" fontId="5" fillId="0" borderId="0" xfId="0" applyFont="1" applyAlignment="1">
      <alignment horizontal="center" vertical="center"/>
    </xf>
    <xf numFmtId="0" fontId="8" fillId="0" borderId="0" xfId="0" quotePrefix="1" applyFont="1" applyAlignment="1">
      <alignment horizontal="left"/>
    </xf>
    <xf numFmtId="0" fontId="0" fillId="0" borderId="0" xfId="0" applyAlignment="1">
      <alignment vertical="top"/>
    </xf>
    <xf numFmtId="0" fontId="5" fillId="0" borderId="0" xfId="0" applyFont="1" applyAlignment="1">
      <alignment vertical="top"/>
    </xf>
    <xf numFmtId="2" fontId="5" fillId="0" borderId="23" xfId="0" applyNumberFormat="1" applyFont="1" applyBorder="1" applyAlignment="1">
      <alignment horizontal="center" vertical="center"/>
    </xf>
    <xf numFmtId="7" fontId="5" fillId="0" borderId="27" xfId="0" applyNumberFormat="1" applyFont="1" applyBorder="1" applyAlignment="1">
      <alignment horizontal="center" vertical="center"/>
    </xf>
    <xf numFmtId="168" fontId="5" fillId="3" borderId="0" xfId="8" applyNumberFormat="1" applyFont="1" applyProtection="1">
      <protection locked="0"/>
    </xf>
    <xf numFmtId="169" fontId="5" fillId="3" borderId="0" xfId="8" applyNumberFormat="1" applyFont="1" applyProtection="1">
      <protection locked="0"/>
    </xf>
    <xf numFmtId="44" fontId="44" fillId="0" borderId="0" xfId="11" applyNumberFormat="1"/>
    <xf numFmtId="0" fontId="7" fillId="4" borderId="28" xfId="0" applyFont="1" applyFill="1" applyBorder="1" applyAlignment="1">
      <alignment horizontal="center" vertical="center"/>
    </xf>
    <xf numFmtId="0" fontId="7" fillId="4" borderId="29" xfId="0" applyFont="1" applyFill="1" applyBorder="1" applyAlignment="1">
      <alignment horizontal="center" vertical="center"/>
    </xf>
    <xf numFmtId="165" fontId="26" fillId="0" borderId="7" xfId="2" applyNumberFormat="1" applyFont="1" applyBorder="1" applyAlignment="1">
      <alignment horizontal="right"/>
    </xf>
    <xf numFmtId="43" fontId="7" fillId="15" borderId="2" xfId="1" applyFont="1" applyFill="1" applyBorder="1" applyAlignment="1" applyProtection="1">
      <alignment horizontal="center" vertical="center"/>
      <protection locked="0"/>
    </xf>
    <xf numFmtId="0" fontId="7" fillId="15" borderId="2" xfId="0" applyFont="1" applyFill="1" applyBorder="1" applyAlignment="1" applyProtection="1">
      <alignment horizontal="center" vertical="center"/>
      <protection locked="0"/>
    </xf>
    <xf numFmtId="164" fontId="7" fillId="15" borderId="2" xfId="0" applyNumberFormat="1" applyFont="1" applyFill="1" applyBorder="1" applyAlignment="1" applyProtection="1">
      <alignment horizontal="center" vertical="center"/>
      <protection locked="0"/>
    </xf>
    <xf numFmtId="165" fontId="7" fillId="15" borderId="2" xfId="1" applyNumberFormat="1" applyFont="1" applyFill="1" applyBorder="1" applyAlignment="1" applyProtection="1">
      <alignment horizontal="center" vertical="center"/>
      <protection locked="0"/>
    </xf>
    <xf numFmtId="44" fontId="7" fillId="15" borderId="2" xfId="0" applyNumberFormat="1" applyFont="1" applyFill="1" applyBorder="1" applyAlignment="1" applyProtection="1">
      <alignment horizontal="center" vertical="center"/>
      <protection locked="0"/>
    </xf>
    <xf numFmtId="0" fontId="41" fillId="15" borderId="2" xfId="0" applyFont="1" applyFill="1" applyBorder="1" applyAlignment="1" applyProtection="1">
      <alignment horizontal="center" vertical="center"/>
      <protection locked="0"/>
    </xf>
    <xf numFmtId="39" fontId="41" fillId="15" borderId="2" xfId="1" applyNumberFormat="1" applyFont="1" applyFill="1" applyBorder="1" applyAlignment="1" applyProtection="1">
      <alignment horizontal="center" vertical="center"/>
      <protection locked="0"/>
    </xf>
    <xf numFmtId="0" fontId="41" fillId="15" borderId="3" xfId="0" applyFont="1" applyFill="1" applyBorder="1" applyAlignment="1" applyProtection="1">
      <alignment horizontal="center" vertical="center"/>
      <protection locked="0"/>
    </xf>
    <xf numFmtId="0" fontId="41" fillId="15" borderId="30" xfId="0" applyFont="1" applyFill="1" applyBorder="1" applyAlignment="1" applyProtection="1">
      <alignment horizontal="center" vertical="center"/>
      <protection locked="0"/>
    </xf>
    <xf numFmtId="39" fontId="41" fillId="15" borderId="30" xfId="1" applyNumberFormat="1" applyFont="1" applyFill="1" applyBorder="1" applyAlignment="1" applyProtection="1">
      <alignment horizontal="center" vertical="center"/>
      <protection locked="0"/>
    </xf>
    <xf numFmtId="0" fontId="41" fillId="15" borderId="31" xfId="0" applyFont="1" applyFill="1" applyBorder="1" applyAlignment="1" applyProtection="1">
      <alignment horizontal="center" vertical="center"/>
      <protection locked="0"/>
    </xf>
    <xf numFmtId="49" fontId="41" fillId="15" borderId="2" xfId="0" applyNumberFormat="1" applyFont="1" applyFill="1" applyBorder="1" applyAlignment="1" applyProtection="1">
      <alignment horizontal="center" vertical="center" wrapText="1"/>
      <protection locked="0"/>
    </xf>
    <xf numFmtId="0" fontId="7" fillId="15" borderId="18" xfId="0" applyFont="1" applyFill="1" applyBorder="1" applyAlignment="1" applyProtection="1">
      <alignment horizontal="center" vertical="center"/>
      <protection locked="0"/>
    </xf>
    <xf numFmtId="43" fontId="7" fillId="15" borderId="30" xfId="1" applyFont="1" applyFill="1" applyBorder="1" applyAlignment="1" applyProtection="1">
      <alignment horizontal="center" vertical="center"/>
      <protection locked="0"/>
    </xf>
    <xf numFmtId="0" fontId="7" fillId="15" borderId="32" xfId="0" applyFont="1" applyFill="1" applyBorder="1" applyAlignment="1" applyProtection="1">
      <alignment horizontal="center" vertical="center"/>
      <protection locked="0"/>
    </xf>
    <xf numFmtId="0" fontId="7" fillId="15" borderId="16" xfId="0" applyFont="1" applyFill="1" applyBorder="1" applyAlignment="1" applyProtection="1">
      <alignment horizontal="center" vertical="center"/>
      <protection locked="0"/>
    </xf>
    <xf numFmtId="0" fontId="7" fillId="15" borderId="33" xfId="0" applyFont="1" applyFill="1" applyBorder="1" applyAlignment="1" applyProtection="1">
      <alignment horizontal="center" vertical="center"/>
      <protection locked="0"/>
    </xf>
    <xf numFmtId="0" fontId="7" fillId="15" borderId="30" xfId="0" applyFont="1" applyFill="1" applyBorder="1" applyAlignment="1" applyProtection="1">
      <alignment horizontal="center" vertical="center"/>
      <protection locked="0"/>
    </xf>
    <xf numFmtId="164" fontId="7" fillId="15" borderId="30" xfId="0" applyNumberFormat="1" applyFont="1" applyFill="1" applyBorder="1" applyAlignment="1" applyProtection="1">
      <alignment horizontal="center" vertical="center"/>
      <protection locked="0"/>
    </xf>
    <xf numFmtId="165" fontId="7" fillId="15" borderId="30" xfId="1" applyNumberFormat="1" applyFont="1" applyFill="1" applyBorder="1" applyAlignment="1" applyProtection="1">
      <alignment horizontal="center" vertical="center"/>
      <protection locked="0"/>
    </xf>
    <xf numFmtId="44" fontId="7" fillId="15" borderId="30" xfId="0" applyNumberFormat="1" applyFont="1" applyFill="1" applyBorder="1" applyAlignment="1" applyProtection="1">
      <alignment horizontal="center" vertical="center"/>
      <protection locked="0"/>
    </xf>
    <xf numFmtId="0" fontId="41" fillId="15" borderId="2" xfId="4" applyNumberFormat="1" applyFont="1" applyFill="1" applyBorder="1" applyAlignment="1" applyProtection="1">
      <alignment horizontal="center" vertical="center"/>
      <protection locked="0"/>
    </xf>
    <xf numFmtId="0" fontId="41" fillId="15" borderId="30" xfId="4" applyNumberFormat="1" applyFont="1" applyFill="1" applyBorder="1" applyAlignment="1" applyProtection="1">
      <alignment horizontal="center" vertical="center"/>
      <protection locked="0"/>
    </xf>
    <xf numFmtId="0" fontId="41" fillId="15" borderId="16" xfId="0" applyFont="1" applyFill="1" applyBorder="1" applyAlignment="1" applyProtection="1">
      <alignment horizontal="center" vertical="center"/>
      <protection locked="0"/>
    </xf>
    <xf numFmtId="0" fontId="41" fillId="15" borderId="33" xfId="0" applyFont="1" applyFill="1" applyBorder="1" applyAlignment="1" applyProtection="1">
      <alignment horizontal="center" vertical="center"/>
      <protection locked="0"/>
    </xf>
    <xf numFmtId="49" fontId="41" fillId="15" borderId="30" xfId="0" applyNumberFormat="1" applyFont="1" applyFill="1" applyBorder="1" applyAlignment="1" applyProtection="1">
      <alignment horizontal="center" vertical="center" wrapText="1"/>
      <protection locked="0"/>
    </xf>
    <xf numFmtId="49" fontId="15" fillId="0" borderId="16" xfId="0" applyNumberFormat="1" applyFont="1" applyBorder="1" applyAlignment="1">
      <alignment horizontal="center" vertical="center"/>
    </xf>
    <xf numFmtId="49" fontId="15" fillId="0" borderId="2" xfId="0" applyNumberFormat="1" applyFont="1" applyBorder="1" applyAlignment="1">
      <alignment horizontal="center" vertical="center"/>
    </xf>
    <xf numFmtId="49" fontId="15" fillId="0" borderId="18" xfId="0" applyNumberFormat="1" applyFont="1" applyBorder="1" applyAlignment="1">
      <alignment horizontal="center" vertical="center"/>
    </xf>
    <xf numFmtId="0" fontId="15" fillId="0" borderId="16" xfId="0" applyFont="1" applyBorder="1" applyAlignment="1">
      <alignment horizontal="center" vertical="center"/>
    </xf>
    <xf numFmtId="0" fontId="15" fillId="0" borderId="2" xfId="0" applyFont="1" applyBorder="1" applyAlignment="1">
      <alignment horizontal="center" vertical="center"/>
    </xf>
    <xf numFmtId="0" fontId="15" fillId="0" borderId="18" xfId="0" applyFont="1" applyBorder="1" applyAlignment="1">
      <alignment horizontal="center" vertical="center"/>
    </xf>
    <xf numFmtId="0" fontId="10" fillId="0" borderId="16" xfId="0" applyFont="1" applyBorder="1" applyAlignment="1">
      <alignment horizontal="center" vertical="top" wrapText="1"/>
    </xf>
    <xf numFmtId="0" fontId="10" fillId="0" borderId="2" xfId="0" applyFont="1" applyBorder="1" applyAlignment="1">
      <alignment horizontal="center" vertical="top" wrapText="1"/>
    </xf>
    <xf numFmtId="0" fontId="10" fillId="0" borderId="18" xfId="0" applyFont="1" applyBorder="1" applyAlignment="1">
      <alignment horizontal="center" vertical="top" wrapText="1"/>
    </xf>
    <xf numFmtId="167" fontId="7" fillId="0" borderId="30" xfId="0" applyNumberFormat="1" applyFont="1" applyBorder="1" applyAlignment="1">
      <alignment horizontal="center" vertical="center"/>
    </xf>
    <xf numFmtId="44" fontId="7" fillId="0" borderId="2" xfId="0" applyNumberFormat="1" applyFont="1" applyBorder="1" applyAlignment="1">
      <alignment horizontal="center" vertical="center"/>
    </xf>
    <xf numFmtId="43" fontId="7" fillId="0" borderId="2" xfId="1" applyFont="1" applyFill="1" applyBorder="1" applyAlignment="1">
      <alignment horizontal="center" vertical="center"/>
    </xf>
    <xf numFmtId="44" fontId="7" fillId="0" borderId="30" xfId="0" applyNumberFormat="1" applyFont="1" applyBorder="1" applyAlignment="1">
      <alignment horizontal="center" vertical="center"/>
    </xf>
    <xf numFmtId="43" fontId="7" fillId="0" borderId="30" xfId="1" applyFont="1" applyFill="1" applyBorder="1" applyAlignment="1">
      <alignment horizontal="center" vertical="center"/>
    </xf>
    <xf numFmtId="0" fontId="14" fillId="0" borderId="16"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18" xfId="0" applyFont="1" applyBorder="1" applyAlignment="1">
      <alignment horizontal="center" vertical="center"/>
    </xf>
    <xf numFmtId="0" fontId="10" fillId="0" borderId="3" xfId="0" applyFont="1" applyBorder="1" applyAlignment="1">
      <alignment horizontal="center" vertical="top" wrapText="1"/>
    </xf>
    <xf numFmtId="0" fontId="41" fillId="0" borderId="16" xfId="0" quotePrefix="1" applyFont="1" applyBorder="1" applyAlignment="1">
      <alignment vertical="center"/>
    </xf>
    <xf numFmtId="44" fontId="41" fillId="0" borderId="16" xfId="4" applyFont="1" applyFill="1" applyBorder="1" applyAlignment="1">
      <alignment horizontal="right" vertical="center"/>
    </xf>
    <xf numFmtId="44" fontId="41" fillId="0" borderId="2" xfId="4" applyFont="1" applyFill="1" applyBorder="1" applyAlignment="1">
      <alignment horizontal="right" vertical="center"/>
    </xf>
    <xf numFmtId="44" fontId="41" fillId="0" borderId="33" xfId="4" applyFont="1" applyFill="1" applyBorder="1" applyAlignment="1">
      <alignment horizontal="right" vertical="center"/>
    </xf>
    <xf numFmtId="44" fontId="41" fillId="0" borderId="30" xfId="4" applyFont="1" applyFill="1" applyBorder="1" applyAlignment="1">
      <alignment horizontal="right" vertical="center"/>
    </xf>
    <xf numFmtId="0" fontId="41" fillId="0" borderId="33" xfId="0" quotePrefix="1" applyFont="1" applyBorder="1" applyAlignment="1">
      <alignment vertical="center"/>
    </xf>
    <xf numFmtId="7" fontId="17" fillId="0" borderId="0" xfId="0" applyNumberFormat="1" applyFont="1" applyAlignment="1">
      <alignment vertical="center"/>
    </xf>
    <xf numFmtId="0" fontId="37" fillId="11" borderId="11" xfId="0" applyFont="1" applyFill="1" applyBorder="1"/>
    <xf numFmtId="0" fontId="0" fillId="11" borderId="13" xfId="0" applyFill="1" applyBorder="1"/>
    <xf numFmtId="0" fontId="37" fillId="11" borderId="13" xfId="0" applyFont="1" applyFill="1" applyBorder="1" applyAlignment="1">
      <alignment horizontal="center"/>
    </xf>
    <xf numFmtId="0" fontId="37" fillId="11" borderId="34" xfId="0" applyFont="1" applyFill="1" applyBorder="1" applyAlignment="1">
      <alignment horizontal="center"/>
    </xf>
    <xf numFmtId="0" fontId="0" fillId="11" borderId="35" xfId="0" applyFill="1" applyBorder="1"/>
    <xf numFmtId="0" fontId="37" fillId="11" borderId="0" xfId="0" applyFont="1" applyFill="1" applyAlignment="1">
      <alignment horizontal="right" vertical="center"/>
    </xf>
    <xf numFmtId="166" fontId="38" fillId="11" borderId="26" xfId="2" applyNumberFormat="1" applyFont="1" applyFill="1" applyBorder="1" applyAlignment="1">
      <alignment horizontal="center" vertical="center"/>
    </xf>
    <xf numFmtId="0" fontId="0" fillId="11" borderId="36" xfId="0" applyFill="1" applyBorder="1"/>
    <xf numFmtId="0" fontId="37" fillId="11" borderId="8" xfId="0" applyFont="1" applyFill="1" applyBorder="1" applyAlignment="1">
      <alignment horizontal="right" vertical="center"/>
    </xf>
    <xf numFmtId="170" fontId="37" fillId="11" borderId="8" xfId="0" applyNumberFormat="1" applyFont="1" applyFill="1" applyBorder="1" applyAlignment="1">
      <alignment horizontal="center" vertical="center"/>
    </xf>
    <xf numFmtId="170" fontId="37" fillId="11" borderId="32" xfId="0" applyNumberFormat="1" applyFont="1" applyFill="1" applyBorder="1" applyAlignment="1">
      <alignment horizontal="center" vertical="center"/>
    </xf>
    <xf numFmtId="0" fontId="37" fillId="12" borderId="11" xfId="0" applyFont="1" applyFill="1" applyBorder="1"/>
    <xf numFmtId="0" fontId="0" fillId="12" borderId="13" xfId="0" applyFill="1" applyBorder="1"/>
    <xf numFmtId="0" fontId="37" fillId="12" borderId="13" xfId="0" applyFont="1" applyFill="1" applyBorder="1" applyAlignment="1">
      <alignment horizontal="center"/>
    </xf>
    <xf numFmtId="0" fontId="37" fillId="12" borderId="34" xfId="0" applyFont="1" applyFill="1" applyBorder="1" applyAlignment="1">
      <alignment horizontal="center"/>
    </xf>
    <xf numFmtId="0" fontId="0" fillId="12" borderId="35" xfId="0" applyFill="1" applyBorder="1"/>
    <xf numFmtId="0" fontId="0" fillId="12" borderId="0" xfId="0" applyFill="1"/>
    <xf numFmtId="0" fontId="37" fillId="12" borderId="0" xfId="0" applyFont="1" applyFill="1" applyAlignment="1">
      <alignment horizontal="right" vertical="center"/>
    </xf>
    <xf numFmtId="166" fontId="38" fillId="12" borderId="26" xfId="2" applyNumberFormat="1" applyFont="1" applyFill="1" applyBorder="1" applyAlignment="1">
      <alignment horizontal="center" vertical="center"/>
    </xf>
    <xf numFmtId="0" fontId="0" fillId="12" borderId="36" xfId="0" applyFill="1" applyBorder="1"/>
    <xf numFmtId="0" fontId="37" fillId="12" borderId="8" xfId="0" applyFont="1" applyFill="1" applyBorder="1" applyAlignment="1">
      <alignment horizontal="right" vertical="center"/>
    </xf>
    <xf numFmtId="170" fontId="37" fillId="12" borderId="8" xfId="0" applyNumberFormat="1" applyFont="1" applyFill="1" applyBorder="1" applyAlignment="1">
      <alignment horizontal="center" vertical="center"/>
    </xf>
    <xf numFmtId="170" fontId="37" fillId="12" borderId="32" xfId="0" applyNumberFormat="1" applyFont="1" applyFill="1" applyBorder="1" applyAlignment="1">
      <alignment horizontal="center" vertical="center"/>
    </xf>
    <xf numFmtId="0" fontId="37" fillId="13" borderId="11" xfId="0" applyFont="1" applyFill="1" applyBorder="1"/>
    <xf numFmtId="0" fontId="0" fillId="13" borderId="13" xfId="0" applyFill="1" applyBorder="1"/>
    <xf numFmtId="0" fontId="37" fillId="13" borderId="13" xfId="0" applyFont="1" applyFill="1" applyBorder="1" applyAlignment="1">
      <alignment horizontal="center"/>
    </xf>
    <xf numFmtId="0" fontId="37" fillId="13" borderId="34" xfId="0" applyFont="1" applyFill="1" applyBorder="1" applyAlignment="1">
      <alignment horizontal="center"/>
    </xf>
    <xf numFmtId="0" fontId="5" fillId="13" borderId="35" xfId="0" applyFont="1" applyFill="1" applyBorder="1"/>
    <xf numFmtId="0" fontId="0" fillId="13" borderId="0" xfId="0" applyFill="1"/>
    <xf numFmtId="0" fontId="37" fillId="13" borderId="0" xfId="0" applyFont="1" applyFill="1" applyAlignment="1">
      <alignment horizontal="right" vertical="center"/>
    </xf>
    <xf numFmtId="166" fontId="37" fillId="13" borderId="26" xfId="0" applyNumberFormat="1" applyFont="1" applyFill="1" applyBorder="1" applyAlignment="1">
      <alignment horizontal="center" vertical="center"/>
    </xf>
    <xf numFmtId="0" fontId="0" fillId="13" borderId="36" xfId="0" applyFill="1" applyBorder="1"/>
    <xf numFmtId="0" fontId="37" fillId="13" borderId="8" xfId="0" applyFont="1" applyFill="1" applyBorder="1" applyAlignment="1">
      <alignment horizontal="right" vertical="center"/>
    </xf>
    <xf numFmtId="170" fontId="37" fillId="13" borderId="32" xfId="0" applyNumberFormat="1" applyFont="1" applyFill="1" applyBorder="1" applyAlignment="1">
      <alignment horizontal="center" vertical="center"/>
    </xf>
    <xf numFmtId="0" fontId="6" fillId="4" borderId="11" xfId="0" applyFont="1" applyFill="1" applyBorder="1" applyAlignment="1">
      <alignment vertical="center"/>
    </xf>
    <xf numFmtId="0" fontId="6" fillId="4" borderId="13" xfId="0" applyFont="1" applyFill="1" applyBorder="1" applyAlignment="1">
      <alignment vertical="center"/>
    </xf>
    <xf numFmtId="0" fontId="6" fillId="4" borderId="34" xfId="0" applyFont="1" applyFill="1" applyBorder="1" applyAlignment="1">
      <alignment vertical="center"/>
    </xf>
    <xf numFmtId="0" fontId="39" fillId="4" borderId="11" xfId="0" applyFont="1" applyFill="1" applyBorder="1" applyAlignment="1">
      <alignment vertical="center"/>
    </xf>
    <xf numFmtId="0" fontId="39" fillId="4" borderId="13" xfId="0" applyFont="1" applyFill="1" applyBorder="1" applyAlignment="1">
      <alignment vertical="center"/>
    </xf>
    <xf numFmtId="0" fontId="39" fillId="4" borderId="34" xfId="0" applyFont="1" applyFill="1" applyBorder="1" applyAlignment="1">
      <alignment vertical="center"/>
    </xf>
    <xf numFmtId="0" fontId="7" fillId="4" borderId="37" xfId="0" applyFont="1" applyFill="1" applyBorder="1" applyAlignment="1">
      <alignment horizontal="center" vertical="center"/>
    </xf>
    <xf numFmtId="0" fontId="7" fillId="0" borderId="34" xfId="0" applyFont="1" applyBorder="1"/>
    <xf numFmtId="0" fontId="7" fillId="4" borderId="38" xfId="0" applyFont="1" applyFill="1" applyBorder="1" applyAlignment="1">
      <alignment horizontal="center" vertical="center"/>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7" fillId="0" borderId="15" xfId="0" applyFont="1" applyBorder="1" applyAlignment="1">
      <alignment horizontal="center" vertical="center"/>
    </xf>
    <xf numFmtId="0" fontId="7" fillId="0" borderId="41" xfId="0" applyFont="1" applyBorder="1" applyAlignment="1">
      <alignment horizontal="center" vertical="center"/>
    </xf>
    <xf numFmtId="43" fontId="17" fillId="0" borderId="42" xfId="0" applyNumberFormat="1" applyFont="1" applyBorder="1" applyAlignment="1">
      <alignment horizontal="center" vertical="center" wrapText="1"/>
    </xf>
    <xf numFmtId="0" fontId="17" fillId="0" borderId="42" xfId="0" applyFont="1" applyBorder="1" applyAlignment="1">
      <alignment horizontal="center" vertical="center" wrapText="1"/>
    </xf>
    <xf numFmtId="2" fontId="17" fillId="0" borderId="43" xfId="0" applyNumberFormat="1" applyFont="1" applyBorder="1" applyAlignment="1">
      <alignment horizontal="center" vertical="center"/>
    </xf>
    <xf numFmtId="7" fontId="17" fillId="0" borderId="26" xfId="0" applyNumberFormat="1" applyFont="1" applyBorder="1" applyAlignment="1">
      <alignment horizontal="center" vertical="center"/>
    </xf>
    <xf numFmtId="0" fontId="10" fillId="0" borderId="10" xfId="0" applyFont="1" applyBorder="1" applyAlignment="1">
      <alignment horizontal="center" vertical="top" wrapText="1"/>
    </xf>
    <xf numFmtId="0" fontId="10" fillId="0" borderId="44" xfId="0" applyFont="1" applyBorder="1" applyAlignment="1">
      <alignment horizontal="center" vertical="top" wrapText="1"/>
    </xf>
    <xf numFmtId="0" fontId="10" fillId="0" borderId="45" xfId="0" applyFont="1" applyBorder="1" applyAlignment="1">
      <alignment horizontal="center" vertical="top" wrapText="1"/>
    </xf>
    <xf numFmtId="0" fontId="10" fillId="0" borderId="12" xfId="0" applyFont="1" applyBorder="1" applyAlignment="1">
      <alignment horizontal="center" vertical="top" wrapText="1"/>
    </xf>
    <xf numFmtId="0" fontId="10" fillId="0" borderId="34" xfId="0" applyFont="1" applyBorder="1" applyAlignment="1">
      <alignment horizontal="center" vertical="top" wrapText="1"/>
    </xf>
    <xf numFmtId="41" fontId="17" fillId="0" borderId="27" xfId="0" applyNumberFormat="1" applyFont="1" applyBorder="1" applyAlignment="1">
      <alignment horizontal="center" vertical="center" wrapText="1"/>
    </xf>
    <xf numFmtId="1" fontId="17" fillId="0" borderId="26" xfId="0" applyNumberFormat="1" applyFont="1" applyBorder="1" applyAlignment="1">
      <alignment horizontal="center" vertical="center"/>
    </xf>
    <xf numFmtId="0" fontId="7" fillId="0" borderId="22" xfId="0" applyFont="1" applyBorder="1"/>
    <xf numFmtId="0" fontId="7" fillId="0" borderId="27" xfId="0" applyFont="1" applyBorder="1"/>
    <xf numFmtId="43" fontId="17" fillId="0" borderId="46" xfId="0" applyNumberFormat="1" applyFont="1" applyBorder="1" applyAlignment="1">
      <alignment horizontal="center" vertical="center" wrapText="1"/>
    </xf>
    <xf numFmtId="43" fontId="17" fillId="0" borderId="47" xfId="0" applyNumberFormat="1" applyFont="1" applyBorder="1" applyAlignment="1">
      <alignment horizontal="center" vertical="center" wrapText="1"/>
    </xf>
    <xf numFmtId="2" fontId="5" fillId="0" borderId="47" xfId="0" applyNumberFormat="1" applyFont="1" applyBorder="1" applyAlignment="1">
      <alignment horizontal="center" vertical="center"/>
    </xf>
    <xf numFmtId="1" fontId="17" fillId="0" borderId="48" xfId="0" applyNumberFormat="1" applyFont="1" applyBorder="1" applyAlignment="1">
      <alignment horizontal="center" vertical="center"/>
    </xf>
    <xf numFmtId="0" fontId="10" fillId="0" borderId="13" xfId="0" applyFont="1" applyBorder="1" applyAlignment="1">
      <alignment horizontal="center" vertical="top" wrapText="1"/>
    </xf>
    <xf numFmtId="41" fontId="17" fillId="0" borderId="5" xfId="0" applyNumberFormat="1" applyFont="1" applyBorder="1" applyAlignment="1">
      <alignment horizontal="center" vertical="center" wrapText="1"/>
    </xf>
    <xf numFmtId="0" fontId="7" fillId="4" borderId="49" xfId="0" applyFont="1" applyFill="1" applyBorder="1" applyAlignment="1">
      <alignment horizontal="center" vertical="center"/>
    </xf>
    <xf numFmtId="0" fontId="17" fillId="0" borderId="46" xfId="0" applyFont="1" applyBorder="1" applyAlignment="1">
      <alignment horizontal="center" vertical="center" wrapText="1"/>
    </xf>
    <xf numFmtId="2" fontId="17" fillId="0" borderId="47" xfId="0" applyNumberFormat="1" applyFont="1" applyBorder="1" applyAlignment="1">
      <alignment horizontal="center" vertical="center" wrapText="1"/>
    </xf>
    <xf numFmtId="0" fontId="17" fillId="0" borderId="47" xfId="0" applyFont="1" applyBorder="1" applyAlignment="1">
      <alignment horizontal="center" vertical="center" wrapText="1"/>
    </xf>
    <xf numFmtId="2" fontId="17" fillId="0" borderId="47" xfId="0" applyNumberFormat="1" applyFont="1" applyBorder="1" applyAlignment="1">
      <alignment horizontal="center" vertical="center"/>
    </xf>
    <xf numFmtId="3" fontId="17" fillId="0" borderId="48" xfId="0" applyNumberFormat="1" applyFont="1" applyBorder="1" applyAlignment="1">
      <alignment horizontal="center" vertical="center"/>
    </xf>
    <xf numFmtId="166" fontId="37" fillId="13" borderId="26" xfId="0" applyNumberFormat="1" applyFont="1" applyFill="1" applyBorder="1" applyAlignment="1">
      <alignment horizontal="right" vertical="center"/>
    </xf>
    <xf numFmtId="0" fontId="7" fillId="0" borderId="25" xfId="0" applyFont="1" applyBorder="1"/>
    <xf numFmtId="0" fontId="7" fillId="0" borderId="13" xfId="0" applyFont="1" applyBorder="1" applyAlignment="1">
      <alignment horizontal="center" vertical="center"/>
    </xf>
    <xf numFmtId="41" fontId="17" fillId="0" borderId="8" xfId="0" applyNumberFormat="1" applyFont="1" applyBorder="1" applyAlignment="1">
      <alignment horizontal="center" vertical="center" wrapText="1"/>
    </xf>
    <xf numFmtId="2" fontId="17" fillId="0" borderId="8" xfId="0" applyNumberFormat="1" applyFont="1" applyBorder="1" applyAlignment="1">
      <alignment horizontal="center" vertical="center"/>
    </xf>
    <xf numFmtId="37" fontId="17" fillId="0" borderId="47" xfId="0" applyNumberFormat="1" applyFont="1" applyBorder="1" applyAlignment="1">
      <alignment horizontal="center" vertical="center"/>
    </xf>
    <xf numFmtId="7" fontId="5" fillId="0" borderId="50" xfId="0" applyNumberFormat="1" applyFont="1" applyBorder="1" applyAlignment="1">
      <alignment horizontal="center" vertical="center"/>
    </xf>
    <xf numFmtId="0" fontId="49" fillId="16" borderId="29" xfId="0" applyFont="1" applyFill="1" applyBorder="1" applyAlignment="1">
      <alignment horizontal="center" vertical="center"/>
    </xf>
    <xf numFmtId="0" fontId="7" fillId="16" borderId="28" xfId="0" applyFont="1" applyFill="1" applyBorder="1" applyAlignment="1">
      <alignment vertical="top"/>
    </xf>
    <xf numFmtId="0" fontId="7" fillId="16" borderId="4" xfId="0" applyFont="1" applyFill="1" applyBorder="1" applyAlignment="1">
      <alignment vertical="top"/>
    </xf>
    <xf numFmtId="0" fontId="49" fillId="16" borderId="51" xfId="0" applyFont="1" applyFill="1" applyBorder="1" applyAlignment="1">
      <alignment horizontal="center" vertical="center"/>
    </xf>
    <xf numFmtId="0" fontId="7" fillId="16" borderId="3" xfId="0" applyFont="1" applyFill="1" applyBorder="1" applyAlignment="1">
      <alignment vertical="top"/>
    </xf>
    <xf numFmtId="0" fontId="7" fillId="16" borderId="19" xfId="0" applyFont="1" applyFill="1" applyBorder="1" applyAlignment="1">
      <alignment horizontal="right" vertical="center"/>
    </xf>
    <xf numFmtId="0" fontId="7" fillId="16" borderId="4" xfId="0" applyFont="1" applyFill="1" applyBorder="1" applyAlignment="1">
      <alignment horizontal="left" vertical="center"/>
    </xf>
    <xf numFmtId="0" fontId="49" fillId="16" borderId="52" xfId="0" applyFont="1" applyFill="1" applyBorder="1" applyAlignment="1">
      <alignment horizontal="center" vertical="center"/>
    </xf>
    <xf numFmtId="0" fontId="7" fillId="16" borderId="5" xfId="0" applyFont="1" applyFill="1" applyBorder="1" applyAlignment="1">
      <alignment horizontal="left" vertical="center"/>
    </xf>
    <xf numFmtId="0" fontId="10" fillId="4" borderId="11" xfId="0" applyFont="1" applyFill="1" applyBorder="1" applyAlignment="1">
      <alignment horizontal="center" vertical="top" wrapText="1"/>
    </xf>
    <xf numFmtId="2" fontId="7" fillId="15" borderId="16" xfId="0" applyNumberFormat="1" applyFont="1" applyFill="1" applyBorder="1" applyAlignment="1" applyProtection="1">
      <alignment horizontal="center" vertical="center"/>
      <protection locked="0"/>
    </xf>
    <xf numFmtId="2" fontId="7" fillId="15" borderId="33" xfId="0" applyNumberFormat="1" applyFont="1" applyFill="1" applyBorder="1" applyAlignment="1" applyProtection="1">
      <alignment horizontal="center" vertical="center"/>
      <protection locked="0"/>
    </xf>
    <xf numFmtId="167" fontId="7" fillId="16" borderId="22" xfId="0" applyNumberFormat="1" applyFont="1" applyFill="1" applyBorder="1" applyAlignment="1">
      <alignment horizontal="right" vertical="center"/>
    </xf>
    <xf numFmtId="0" fontId="10" fillId="0" borderId="0" xfId="0" applyFont="1" applyAlignment="1">
      <alignment vertical="center"/>
    </xf>
    <xf numFmtId="0" fontId="10" fillId="0" borderId="9" xfId="0" applyFont="1" applyBorder="1" applyAlignment="1">
      <alignment horizontal="center" vertical="top" wrapText="1"/>
    </xf>
    <xf numFmtId="0" fontId="10" fillId="0" borderId="24" xfId="0" applyFont="1" applyBorder="1" applyAlignment="1">
      <alignment horizontal="center" vertical="top" wrapText="1"/>
    </xf>
    <xf numFmtId="0" fontId="41" fillId="0" borderId="55" xfId="0" quotePrefix="1" applyFont="1" applyBorder="1" applyAlignment="1">
      <alignment vertical="center"/>
    </xf>
    <xf numFmtId="0" fontId="41" fillId="15" borderId="56" xfId="0" applyFont="1" applyFill="1" applyBorder="1" applyAlignment="1" applyProtection="1">
      <alignment horizontal="center" vertical="center"/>
      <protection locked="0"/>
    </xf>
    <xf numFmtId="39" fontId="41" fillId="15" borderId="56" xfId="1" applyNumberFormat="1" applyFont="1" applyFill="1" applyBorder="1" applyAlignment="1" applyProtection="1">
      <alignment horizontal="center" vertical="center"/>
      <protection locked="0"/>
    </xf>
    <xf numFmtId="0" fontId="41" fillId="15" borderId="57" xfId="0" applyFont="1" applyFill="1" applyBorder="1" applyAlignment="1" applyProtection="1">
      <alignment horizontal="center" vertical="center"/>
      <protection locked="0"/>
    </xf>
    <xf numFmtId="0" fontId="41" fillId="15" borderId="55" xfId="0" applyFont="1" applyFill="1" applyBorder="1" applyAlignment="1" applyProtection="1">
      <alignment horizontal="center" vertical="center"/>
      <protection locked="0"/>
    </xf>
    <xf numFmtId="49" fontId="41" fillId="15" borderId="56" xfId="0" applyNumberFormat="1" applyFont="1" applyFill="1" applyBorder="1" applyAlignment="1" applyProtection="1">
      <alignment horizontal="center" vertical="center" wrapText="1"/>
      <protection locked="0"/>
    </xf>
    <xf numFmtId="0" fontId="41" fillId="15" borderId="56" xfId="4" applyNumberFormat="1" applyFont="1" applyFill="1" applyBorder="1" applyAlignment="1" applyProtection="1">
      <alignment horizontal="center" vertical="center"/>
      <protection locked="0"/>
    </xf>
    <xf numFmtId="44" fontId="41" fillId="0" borderId="55" xfId="4" applyFont="1" applyFill="1" applyBorder="1" applyAlignment="1">
      <alignment horizontal="right" vertical="center"/>
    </xf>
    <xf numFmtId="44" fontId="41" fillId="0" borderId="56" xfId="4" applyFont="1" applyFill="1" applyBorder="1" applyAlignment="1">
      <alignment horizontal="right" vertical="center"/>
    </xf>
    <xf numFmtId="44" fontId="41" fillId="0" borderId="58" xfId="4" applyFont="1" applyFill="1" applyBorder="1" applyAlignment="1">
      <alignment horizontal="right" vertical="center"/>
    </xf>
    <xf numFmtId="0" fontId="7" fillId="16" borderId="4" xfId="0" applyFont="1" applyFill="1" applyBorder="1" applyAlignment="1">
      <alignment horizontal="left" vertical="top" wrapText="1"/>
    </xf>
    <xf numFmtId="0" fontId="5" fillId="0" borderId="0" xfId="0" applyFont="1" applyAlignment="1">
      <alignment horizontal="left" vertical="top" wrapText="1"/>
    </xf>
    <xf numFmtId="0" fontId="42" fillId="0" borderId="0" xfId="0" applyFont="1" applyAlignment="1">
      <alignment horizontal="center" vertical="top" wrapText="1"/>
    </xf>
    <xf numFmtId="0" fontId="42" fillId="0" borderId="0" xfId="0" applyFont="1" applyAlignment="1">
      <alignment vertical="top" wrapText="1"/>
    </xf>
    <xf numFmtId="170" fontId="41" fillId="0" borderId="0" xfId="0" applyNumberFormat="1" applyFont="1" applyAlignment="1">
      <alignment vertical="center"/>
    </xf>
    <xf numFmtId="0" fontId="41" fillId="0" borderId="78" xfId="0" applyFont="1" applyBorder="1" applyAlignment="1">
      <alignment horizontal="center" vertical="center"/>
    </xf>
    <xf numFmtId="0" fontId="42" fillId="4" borderId="80" xfId="0" applyFont="1" applyFill="1" applyBorder="1" applyAlignment="1">
      <alignment horizontal="center" vertical="top" wrapText="1"/>
    </xf>
    <xf numFmtId="0" fontId="42" fillId="4" borderId="59" xfId="0" applyFont="1" applyFill="1" applyBorder="1" applyAlignment="1">
      <alignment horizontal="center" vertical="top" wrapText="1"/>
    </xf>
    <xf numFmtId="0" fontId="41" fillId="0" borderId="81" xfId="0" applyFont="1" applyBorder="1" applyAlignment="1">
      <alignment horizontal="center" vertical="center"/>
    </xf>
    <xf numFmtId="171" fontId="41" fillId="15" borderId="3" xfId="4" applyNumberFormat="1" applyFont="1" applyFill="1" applyBorder="1" applyAlignment="1" applyProtection="1">
      <alignment horizontal="center" vertical="center"/>
      <protection locked="0"/>
    </xf>
    <xf numFmtId="171" fontId="41" fillId="15" borderId="31" xfId="4" applyNumberFormat="1" applyFont="1" applyFill="1" applyBorder="1" applyAlignment="1" applyProtection="1">
      <alignment horizontal="center" vertical="center"/>
      <protection locked="0"/>
    </xf>
    <xf numFmtId="0" fontId="6" fillId="4" borderId="11" xfId="0" quotePrefix="1" applyFont="1" applyFill="1" applyBorder="1" applyAlignment="1">
      <alignment vertical="center"/>
    </xf>
    <xf numFmtId="0" fontId="6" fillId="4" borderId="13" xfId="0" quotePrefix="1" applyFont="1" applyFill="1" applyBorder="1" applyAlignment="1">
      <alignment vertical="center"/>
    </xf>
    <xf numFmtId="0" fontId="6" fillId="4" borderId="34" xfId="0" quotePrefix="1" applyFont="1" applyFill="1" applyBorder="1" applyAlignment="1">
      <alignment vertical="center"/>
    </xf>
    <xf numFmtId="0" fontId="8" fillId="4" borderId="60" xfId="0" applyFont="1" applyFill="1" applyBorder="1" applyAlignment="1">
      <alignment vertical="top"/>
    </xf>
    <xf numFmtId="0" fontId="8" fillId="4" borderId="61" xfId="0" applyFont="1" applyFill="1" applyBorder="1" applyAlignment="1">
      <alignment vertical="top"/>
    </xf>
    <xf numFmtId="0" fontId="8" fillId="4" borderId="62" xfId="0" applyFont="1" applyFill="1" applyBorder="1" applyAlignment="1">
      <alignment vertical="top"/>
    </xf>
    <xf numFmtId="0" fontId="43" fillId="4" borderId="11" xfId="0" quotePrefix="1" applyFont="1" applyFill="1" applyBorder="1" applyAlignment="1">
      <alignment vertical="center"/>
    </xf>
    <xf numFmtId="0" fontId="43" fillId="4" borderId="13" xfId="0" quotePrefix="1" applyFont="1" applyFill="1" applyBorder="1" applyAlignment="1">
      <alignment vertical="center"/>
    </xf>
    <xf numFmtId="0" fontId="43" fillId="4" borderId="34" xfId="0" quotePrefix="1" applyFont="1" applyFill="1" applyBorder="1" applyAlignment="1">
      <alignment vertical="center"/>
    </xf>
    <xf numFmtId="167" fontId="7" fillId="16" borderId="19" xfId="0" applyNumberFormat="1" applyFont="1" applyFill="1" applyBorder="1" applyAlignment="1">
      <alignment horizontal="right" vertical="center"/>
    </xf>
    <xf numFmtId="0" fontId="49" fillId="16" borderId="51" xfId="0" applyFont="1" applyFill="1" applyBorder="1" applyAlignment="1">
      <alignment horizontal="left" vertical="center"/>
    </xf>
    <xf numFmtId="0" fontId="7" fillId="16" borderId="0" xfId="0" applyFont="1" applyFill="1" applyAlignment="1">
      <alignment horizontal="left" vertical="top" wrapText="1"/>
    </xf>
    <xf numFmtId="6" fontId="7" fillId="0" borderId="22" xfId="0" applyNumberFormat="1" applyFont="1" applyBorder="1" applyAlignment="1">
      <alignment horizontal="center" vertical="center"/>
    </xf>
    <xf numFmtId="6" fontId="7" fillId="0" borderId="19" xfId="0" applyNumberFormat="1" applyFont="1" applyBorder="1" applyAlignment="1">
      <alignment horizontal="center" vertical="center"/>
    </xf>
    <xf numFmtId="0" fontId="7" fillId="16" borderId="19" xfId="0" applyFont="1" applyFill="1" applyBorder="1" applyAlignment="1">
      <alignment vertical="center"/>
    </xf>
    <xf numFmtId="49" fontId="10" fillId="4" borderId="82" xfId="0" applyNumberFormat="1" applyFont="1" applyFill="1" applyBorder="1" applyAlignment="1">
      <alignment vertical="center"/>
    </xf>
    <xf numFmtId="49" fontId="10" fillId="4" borderId="83" xfId="0" applyNumberFormat="1" applyFont="1" applyFill="1" applyBorder="1" applyAlignment="1">
      <alignment vertical="center"/>
    </xf>
    <xf numFmtId="49" fontId="10" fillId="4" borderId="84" xfId="0" applyNumberFormat="1" applyFont="1" applyFill="1" applyBorder="1" applyAlignment="1">
      <alignment vertical="center"/>
    </xf>
    <xf numFmtId="171" fontId="41" fillId="15" borderId="57" xfId="4" applyNumberFormat="1" applyFont="1" applyFill="1" applyBorder="1" applyAlignment="1" applyProtection="1">
      <alignment horizontal="center" vertical="center"/>
      <protection locked="0"/>
    </xf>
    <xf numFmtId="0" fontId="7" fillId="0" borderId="18" xfId="0" applyFont="1" applyBorder="1" applyAlignment="1">
      <alignment horizontal="center" vertical="center"/>
    </xf>
    <xf numFmtId="0" fontId="7" fillId="0" borderId="32" xfId="0" applyFont="1" applyBorder="1" applyAlignment="1">
      <alignment horizontal="center" vertical="center"/>
    </xf>
    <xf numFmtId="49" fontId="10" fillId="0" borderId="53" xfId="0" applyNumberFormat="1" applyFont="1" applyBorder="1" applyAlignment="1">
      <alignment horizontal="center" vertical="top" wrapText="1"/>
    </xf>
    <xf numFmtId="49" fontId="10" fillId="0" borderId="24" xfId="0" applyNumberFormat="1" applyFont="1" applyBorder="1" applyAlignment="1">
      <alignment horizontal="center" vertical="top"/>
    </xf>
    <xf numFmtId="2" fontId="7" fillId="15" borderId="55" xfId="0" applyNumberFormat="1" applyFont="1" applyFill="1" applyBorder="1" applyAlignment="1" applyProtection="1">
      <alignment horizontal="center" vertical="center"/>
      <protection locked="0"/>
    </xf>
    <xf numFmtId="43" fontId="7" fillId="15" borderId="56" xfId="1" applyFont="1" applyFill="1" applyBorder="1" applyAlignment="1" applyProtection="1">
      <alignment horizontal="center" vertical="center"/>
      <protection locked="0"/>
    </xf>
    <xf numFmtId="0" fontId="7" fillId="15" borderId="58" xfId="0" applyFont="1" applyFill="1" applyBorder="1" applyAlignment="1" applyProtection="1">
      <alignment horizontal="center" vertical="center"/>
      <protection locked="0"/>
    </xf>
    <xf numFmtId="0" fontId="15" fillId="0" borderId="17" xfId="0" applyFont="1" applyBorder="1" applyAlignment="1">
      <alignment horizontal="center" vertical="center"/>
    </xf>
    <xf numFmtId="44" fontId="7" fillId="0" borderId="17" xfId="0" applyNumberFormat="1" applyFont="1" applyBorder="1" applyAlignment="1">
      <alignment horizontal="center" vertical="center"/>
    </xf>
    <xf numFmtId="44" fontId="7" fillId="0" borderId="65" xfId="0" applyNumberFormat="1" applyFont="1" applyBorder="1" applyAlignment="1">
      <alignment horizontal="center" vertical="center"/>
    </xf>
    <xf numFmtId="0" fontId="7" fillId="15" borderId="42" xfId="0" applyFont="1" applyFill="1" applyBorder="1" applyAlignment="1" applyProtection="1">
      <alignment horizontal="center" vertical="center"/>
      <protection locked="0"/>
    </xf>
    <xf numFmtId="0" fontId="7" fillId="15" borderId="23" xfId="0" applyFont="1" applyFill="1" applyBorder="1" applyAlignment="1" applyProtection="1">
      <alignment horizontal="center" vertical="center"/>
      <protection locked="0"/>
    </xf>
    <xf numFmtId="164" fontId="7" fillId="15" borderId="23" xfId="0" applyNumberFormat="1" applyFont="1" applyFill="1" applyBorder="1" applyAlignment="1" applyProtection="1">
      <alignment horizontal="center" vertical="center"/>
      <protection locked="0"/>
    </xf>
    <xf numFmtId="167" fontId="7" fillId="0" borderId="23" xfId="0" applyNumberFormat="1" applyFont="1" applyBorder="1" applyAlignment="1">
      <alignment horizontal="center" vertical="center"/>
    </xf>
    <xf numFmtId="165" fontId="7" fillId="15" borderId="23" xfId="1" applyNumberFormat="1" applyFont="1" applyFill="1" applyBorder="1" applyAlignment="1" applyProtection="1">
      <alignment horizontal="center" vertical="center"/>
      <protection locked="0"/>
    </xf>
    <xf numFmtId="44" fontId="7" fillId="15" borderId="23" xfId="0" applyNumberFormat="1" applyFont="1" applyFill="1" applyBorder="1" applyAlignment="1" applyProtection="1">
      <alignment horizontal="center" vertical="center"/>
      <protection locked="0"/>
    </xf>
    <xf numFmtId="0" fontId="10" fillId="0" borderId="33" xfId="0" applyFont="1" applyBorder="1" applyAlignment="1">
      <alignment horizontal="center" vertical="top" wrapText="1"/>
    </xf>
    <xf numFmtId="0" fontId="10" fillId="0" borderId="30" xfId="0" applyFont="1" applyBorder="1" applyAlignment="1">
      <alignment horizontal="center" vertical="top" wrapText="1"/>
    </xf>
    <xf numFmtId="0" fontId="10" fillId="0" borderId="32" xfId="0" applyFont="1" applyBorder="1" applyAlignment="1">
      <alignment horizontal="center" vertical="top" wrapText="1"/>
    </xf>
    <xf numFmtId="0" fontId="7" fillId="16" borderId="4" xfId="0" applyFont="1" applyFill="1" applyBorder="1" applyAlignment="1">
      <alignment horizontal="left" vertical="top"/>
    </xf>
    <xf numFmtId="0" fontId="10" fillId="4" borderId="14" xfId="0" applyFont="1" applyFill="1" applyBorder="1" applyAlignment="1">
      <alignment horizontal="center" vertical="top" wrapText="1"/>
    </xf>
    <xf numFmtId="0" fontId="7" fillId="0" borderId="66" xfId="0" applyFont="1" applyBorder="1" applyAlignment="1">
      <alignment horizontal="center" vertical="top"/>
    </xf>
    <xf numFmtId="0" fontId="7" fillId="0" borderId="67" xfId="0" applyFont="1" applyBorder="1" applyAlignment="1">
      <alignment horizontal="center" vertical="top"/>
    </xf>
    <xf numFmtId="0" fontId="7" fillId="0" borderId="67" xfId="0" applyFont="1" applyBorder="1" applyAlignment="1">
      <alignment horizontal="center" vertical="top" wrapText="1"/>
    </xf>
    <xf numFmtId="0" fontId="7" fillId="0" borderId="68" xfId="0" applyFont="1" applyBorder="1" applyAlignment="1">
      <alignment horizontal="center" vertical="top" wrapText="1"/>
    </xf>
    <xf numFmtId="0" fontId="7" fillId="0" borderId="86" xfId="0" applyFont="1" applyBorder="1" applyAlignment="1">
      <alignment horizontal="center" vertical="top" wrapText="1"/>
    </xf>
    <xf numFmtId="0" fontId="7" fillId="0" borderId="25" xfId="0" applyFont="1" applyBorder="1" applyAlignment="1">
      <alignment horizontal="center" vertical="top" wrapText="1"/>
    </xf>
    <xf numFmtId="49" fontId="7" fillId="0" borderId="0" xfId="0" applyNumberFormat="1" applyFont="1" applyAlignment="1">
      <alignment horizontal="center" vertical="center"/>
    </xf>
    <xf numFmtId="0" fontId="7" fillId="16" borderId="5" xfId="0" applyFont="1" applyFill="1" applyBorder="1" applyAlignment="1">
      <alignment horizontal="left" vertical="top" wrapText="1"/>
    </xf>
    <xf numFmtId="170" fontId="8" fillId="0" borderId="25" xfId="0" applyNumberFormat="1" applyFont="1" applyBorder="1" applyAlignment="1">
      <alignment horizontal="center" vertical="center"/>
    </xf>
    <xf numFmtId="0" fontId="7" fillId="0" borderId="69" xfId="0" applyFont="1" applyBorder="1" applyAlignment="1">
      <alignment horizontal="center" vertical="top" wrapText="1"/>
    </xf>
    <xf numFmtId="0" fontId="7" fillId="16" borderId="49" xfId="0" applyFont="1" applyFill="1" applyBorder="1" applyAlignment="1">
      <alignment horizontal="right" vertical="center"/>
    </xf>
    <xf numFmtId="0" fontId="7" fillId="16" borderId="28" xfId="0" applyFont="1" applyFill="1" applyBorder="1" applyAlignment="1">
      <alignment horizontal="left" vertical="center"/>
    </xf>
    <xf numFmtId="6" fontId="7" fillId="0" borderId="49" xfId="0" applyNumberFormat="1" applyFont="1" applyBorder="1" applyAlignment="1">
      <alignment horizontal="center" vertical="center"/>
    </xf>
    <xf numFmtId="0" fontId="7" fillId="0" borderId="87" xfId="0" applyFont="1" applyBorder="1" applyAlignment="1">
      <alignment horizontal="center" vertical="top" wrapText="1"/>
    </xf>
    <xf numFmtId="0" fontId="7" fillId="16" borderId="61" xfId="0" applyFont="1" applyFill="1" applyBorder="1" applyAlignment="1">
      <alignment vertical="top"/>
    </xf>
    <xf numFmtId="0" fontId="49" fillId="16" borderId="62" xfId="0" applyFont="1" applyFill="1" applyBorder="1" applyAlignment="1">
      <alignment horizontal="center" vertical="center"/>
    </xf>
    <xf numFmtId="0" fontId="7" fillId="16" borderId="60" xfId="0" applyFont="1" applyFill="1" applyBorder="1" applyAlignment="1">
      <alignment horizontal="right" vertical="center"/>
    </xf>
    <xf numFmtId="0" fontId="7" fillId="16" borderId="61" xfId="0" applyFont="1" applyFill="1" applyBorder="1" applyAlignment="1">
      <alignment horizontal="left" vertical="center"/>
    </xf>
    <xf numFmtId="6" fontId="7" fillId="0" borderId="60" xfId="0" applyNumberFormat="1" applyFont="1" applyBorder="1" applyAlignment="1">
      <alignment horizontal="center" vertical="center"/>
    </xf>
    <xf numFmtId="0" fontId="7" fillId="16" borderId="70" xfId="0" applyFont="1" applyFill="1" applyBorder="1" applyAlignment="1">
      <alignment vertical="top"/>
    </xf>
    <xf numFmtId="0" fontId="49" fillId="16" borderId="71" xfId="0" applyFont="1" applyFill="1" applyBorder="1" applyAlignment="1">
      <alignment horizontal="center" vertical="center"/>
    </xf>
    <xf numFmtId="0" fontId="7" fillId="16" borderId="72" xfId="0" applyFont="1" applyFill="1" applyBorder="1" applyAlignment="1">
      <alignment horizontal="right" vertical="center"/>
    </xf>
    <xf numFmtId="0" fontId="7" fillId="16" borderId="70" xfId="0" applyFont="1" applyFill="1" applyBorder="1" applyAlignment="1">
      <alignment horizontal="left" vertical="center"/>
    </xf>
    <xf numFmtId="6" fontId="7" fillId="0" borderId="72" xfId="0" applyNumberFormat="1" applyFont="1" applyBorder="1" applyAlignment="1">
      <alignment horizontal="center" vertical="center"/>
    </xf>
    <xf numFmtId="0" fontId="7" fillId="0" borderId="66" xfId="0" applyFont="1" applyBorder="1" applyAlignment="1">
      <alignment horizontal="center" vertical="top" wrapText="1"/>
    </xf>
    <xf numFmtId="0" fontId="7" fillId="16" borderId="5" xfId="0" applyFont="1" applyFill="1" applyBorder="1" applyAlignment="1">
      <alignment horizontal="left" vertical="top"/>
    </xf>
    <xf numFmtId="0" fontId="49" fillId="16" borderId="27" xfId="0" applyFont="1" applyFill="1" applyBorder="1" applyAlignment="1">
      <alignment horizontal="left" vertical="center"/>
    </xf>
    <xf numFmtId="0" fontId="7" fillId="16" borderId="22" xfId="0" applyFont="1" applyFill="1" applyBorder="1" applyAlignment="1">
      <alignment vertical="center"/>
    </xf>
    <xf numFmtId="0" fontId="7" fillId="16" borderId="5" xfId="0" applyFont="1" applyFill="1" applyBorder="1" applyAlignment="1">
      <alignment vertical="top"/>
    </xf>
    <xf numFmtId="0" fontId="7" fillId="16" borderId="72" xfId="0" applyFont="1" applyFill="1" applyBorder="1" applyAlignment="1">
      <alignment vertical="top"/>
    </xf>
    <xf numFmtId="0" fontId="7" fillId="0" borderId="68" xfId="0" applyFont="1" applyBorder="1" applyAlignment="1">
      <alignment horizontal="center" vertical="top"/>
    </xf>
    <xf numFmtId="0" fontId="7" fillId="16" borderId="54" xfId="0" applyFont="1" applyFill="1" applyBorder="1" applyAlignment="1">
      <alignment vertical="top"/>
    </xf>
    <xf numFmtId="0" fontId="7" fillId="0" borderId="73" xfId="0" applyFont="1" applyBorder="1" applyAlignment="1">
      <alignment horizontal="center" vertical="top" wrapText="1"/>
    </xf>
    <xf numFmtId="0" fontId="7" fillId="16" borderId="61" xfId="0" applyFont="1" applyFill="1" applyBorder="1" applyAlignment="1">
      <alignment horizontal="left" vertical="top"/>
    </xf>
    <xf numFmtId="0" fontId="7" fillId="16" borderId="61" xfId="0" applyFont="1" applyFill="1" applyBorder="1" applyAlignment="1">
      <alignment horizontal="left" vertical="top" wrapText="1"/>
    </xf>
    <xf numFmtId="0" fontId="49" fillId="16" borderId="62" xfId="0" applyFont="1" applyFill="1" applyBorder="1" applyAlignment="1">
      <alignment horizontal="left" vertical="center"/>
    </xf>
    <xf numFmtId="0" fontId="7" fillId="16" borderId="60" xfId="0" applyFont="1" applyFill="1" applyBorder="1" applyAlignment="1">
      <alignment vertical="center"/>
    </xf>
    <xf numFmtId="0" fontId="7" fillId="0" borderId="74" xfId="0" applyFont="1" applyBorder="1" applyAlignment="1">
      <alignment horizontal="center" vertical="top" wrapText="1"/>
    </xf>
    <xf numFmtId="0" fontId="7" fillId="16" borderId="72" xfId="0" applyFont="1" applyFill="1" applyBorder="1" applyAlignment="1">
      <alignment vertical="center"/>
    </xf>
    <xf numFmtId="14" fontId="0" fillId="0" borderId="0" xfId="0" applyNumberFormat="1"/>
    <xf numFmtId="0" fontId="42" fillId="4" borderId="47" xfId="0" applyFont="1" applyFill="1" applyBorder="1" applyAlignment="1">
      <alignment horizontal="center" vertical="top" wrapText="1"/>
    </xf>
    <xf numFmtId="0" fontId="42" fillId="4" borderId="130" xfId="0" applyFont="1" applyFill="1" applyBorder="1" applyAlignment="1">
      <alignment horizontal="center" vertical="top" wrapText="1"/>
    </xf>
    <xf numFmtId="0" fontId="14" fillId="0" borderId="2" xfId="0" applyFont="1" applyBorder="1" applyAlignment="1">
      <alignment horizontal="center" vertical="center" wrapText="1"/>
    </xf>
    <xf numFmtId="0" fontId="41" fillId="0" borderId="0" xfId="0" applyFont="1" applyAlignment="1">
      <alignment horizontal="left" vertical="center"/>
    </xf>
    <xf numFmtId="0" fontId="0" fillId="0" borderId="0" xfId="0" applyAlignment="1">
      <alignment horizontal="center"/>
    </xf>
    <xf numFmtId="1" fontId="17" fillId="0" borderId="26" xfId="0" applyNumberFormat="1" applyFont="1" applyBorder="1" applyAlignment="1">
      <alignment horizontal="left" vertical="center"/>
    </xf>
    <xf numFmtId="0" fontId="17" fillId="0" borderId="23" xfId="0" applyFont="1" applyBorder="1" applyAlignment="1">
      <alignment horizontal="center" vertical="center"/>
    </xf>
    <xf numFmtId="1" fontId="17" fillId="0" borderId="43" xfId="0" applyNumberFormat="1" applyFont="1" applyBorder="1" applyAlignment="1">
      <alignment horizontal="center" vertical="center"/>
    </xf>
    <xf numFmtId="2" fontId="5" fillId="0" borderId="23" xfId="0" applyNumberFormat="1" applyFont="1" applyBorder="1" applyAlignment="1">
      <alignment horizontal="left" vertical="center"/>
    </xf>
    <xf numFmtId="49" fontId="17" fillId="0" borderId="42" xfId="0" applyNumberFormat="1" applyFont="1" applyBorder="1" applyAlignment="1">
      <alignment horizontal="center" vertical="center" wrapText="1"/>
    </xf>
    <xf numFmtId="0" fontId="10" fillId="0" borderId="53" xfId="0" applyFont="1" applyBorder="1" applyAlignment="1">
      <alignment horizontal="center" vertical="top" wrapText="1"/>
    </xf>
    <xf numFmtId="0" fontId="10" fillId="0" borderId="54" xfId="0" applyFont="1" applyBorder="1" applyAlignment="1">
      <alignment horizontal="center" vertical="top" wrapText="1"/>
    </xf>
    <xf numFmtId="171" fontId="41" fillId="15" borderId="58" xfId="4" applyNumberFormat="1" applyFont="1" applyFill="1" applyBorder="1" applyAlignment="1" applyProtection="1">
      <alignment horizontal="center" vertical="center"/>
      <protection locked="0"/>
    </xf>
    <xf numFmtId="0" fontId="42" fillId="0" borderId="0" xfId="0" quotePrefix="1" applyFont="1" applyAlignment="1">
      <alignment horizontal="right"/>
    </xf>
    <xf numFmtId="0" fontId="41" fillId="0" borderId="0" xfId="0" applyFont="1" applyAlignment="1">
      <alignment horizontal="right"/>
    </xf>
    <xf numFmtId="0" fontId="41" fillId="0" borderId="0" xfId="0" applyFont="1"/>
    <xf numFmtId="0" fontId="41" fillId="0" borderId="0" xfId="0" quotePrefix="1" applyFont="1" applyAlignment="1">
      <alignment horizontal="right"/>
    </xf>
    <xf numFmtId="0" fontId="43" fillId="17" borderId="0" xfId="0" quotePrefix="1" applyFont="1" applyFill="1" applyAlignment="1">
      <alignment vertical="center"/>
    </xf>
    <xf numFmtId="0" fontId="43" fillId="17" borderId="35" xfId="0" quotePrefix="1" applyFont="1" applyFill="1" applyBorder="1" applyAlignment="1">
      <alignment vertical="center"/>
    </xf>
    <xf numFmtId="0" fontId="43" fillId="17" borderId="52" xfId="0" quotePrefix="1" applyFont="1" applyFill="1" applyBorder="1" applyAlignment="1">
      <alignment vertical="center"/>
    </xf>
    <xf numFmtId="0" fontId="3" fillId="0" borderId="0" xfId="11" applyFont="1" applyAlignment="1">
      <alignment horizontal="center"/>
    </xf>
    <xf numFmtId="0" fontId="3" fillId="0" borderId="0" xfId="11" applyFont="1" applyAlignment="1">
      <alignment wrapText="1"/>
    </xf>
    <xf numFmtId="174" fontId="41" fillId="0" borderId="43" xfId="0" applyNumberFormat="1" applyFont="1" applyBorder="1" applyAlignment="1">
      <alignment horizontal="center"/>
    </xf>
    <xf numFmtId="174" fontId="41" fillId="0" borderId="17" xfId="0" applyNumberFormat="1" applyFont="1" applyBorder="1" applyAlignment="1">
      <alignment horizontal="center"/>
    </xf>
    <xf numFmtId="175" fontId="41" fillId="0" borderId="23" xfId="0" applyNumberFormat="1" applyFont="1" applyBorder="1" applyAlignment="1">
      <alignment horizontal="center"/>
    </xf>
    <xf numFmtId="175" fontId="41" fillId="0" borderId="2" xfId="0" applyNumberFormat="1" applyFont="1" applyBorder="1" applyAlignment="1">
      <alignment horizontal="center"/>
    </xf>
    <xf numFmtId="44" fontId="41" fillId="15" borderId="57" xfId="0" applyNumberFormat="1" applyFont="1" applyFill="1" applyBorder="1" applyAlignment="1" applyProtection="1">
      <alignment horizontal="center" vertical="center"/>
      <protection locked="0"/>
    </xf>
    <xf numFmtId="44" fontId="41" fillId="15" borderId="3" xfId="0" applyNumberFormat="1" applyFont="1" applyFill="1" applyBorder="1" applyAlignment="1" applyProtection="1">
      <alignment horizontal="center" vertical="center"/>
      <protection locked="0"/>
    </xf>
    <xf numFmtId="44" fontId="41" fillId="15" borderId="31" xfId="0" applyNumberFormat="1" applyFont="1" applyFill="1" applyBorder="1" applyAlignment="1" applyProtection="1">
      <alignment horizontal="center" vertical="center"/>
      <protection locked="0"/>
    </xf>
    <xf numFmtId="44" fontId="41" fillId="15" borderId="57" xfId="4" applyFont="1" applyFill="1" applyBorder="1" applyAlignment="1" applyProtection="1">
      <alignment horizontal="center" vertical="center"/>
      <protection locked="0"/>
    </xf>
    <xf numFmtId="44" fontId="41" fillId="15" borderId="3" xfId="4" applyFont="1" applyFill="1" applyBorder="1" applyAlignment="1" applyProtection="1">
      <alignment horizontal="center" vertical="center"/>
      <protection locked="0"/>
    </xf>
    <xf numFmtId="44" fontId="41" fillId="15" borderId="31" xfId="4" applyFont="1" applyFill="1" applyBorder="1" applyAlignment="1" applyProtection="1">
      <alignment horizontal="center" vertical="center"/>
      <protection locked="0"/>
    </xf>
    <xf numFmtId="0" fontId="10" fillId="0" borderId="0" xfId="0" applyFont="1" applyAlignment="1">
      <alignment horizontal="left"/>
    </xf>
    <xf numFmtId="0" fontId="10" fillId="0" borderId="0" xfId="0" applyFont="1" applyProtection="1">
      <protection locked="0"/>
    </xf>
    <xf numFmtId="176" fontId="41" fillId="0" borderId="43" xfId="0" applyNumberFormat="1" applyFont="1" applyBorder="1" applyAlignment="1">
      <alignment horizontal="center"/>
    </xf>
    <xf numFmtId="176" fontId="41" fillId="0" borderId="17" xfId="0" applyNumberFormat="1" applyFont="1" applyBorder="1" applyAlignment="1">
      <alignment horizontal="center"/>
    </xf>
    <xf numFmtId="176" fontId="41" fillId="0" borderId="79" xfId="0" applyNumberFormat="1" applyFont="1" applyBorder="1" applyAlignment="1">
      <alignment horizontal="center"/>
    </xf>
    <xf numFmtId="177" fontId="41" fillId="0" borderId="56" xfId="0" applyNumberFormat="1" applyFont="1" applyBorder="1" applyAlignment="1">
      <alignment horizontal="center" vertical="center"/>
    </xf>
    <xf numFmtId="177" fontId="41" fillId="15" borderId="56" xfId="0" applyNumberFormat="1" applyFont="1" applyFill="1" applyBorder="1" applyAlignment="1" applyProtection="1">
      <alignment horizontal="center" vertical="center"/>
      <protection locked="0"/>
    </xf>
    <xf numFmtId="177" fontId="41" fillId="0" borderId="56" xfId="0" applyNumberFormat="1" applyFont="1" applyBorder="1" applyAlignment="1">
      <alignment horizontal="center" vertical="center" wrapText="1"/>
    </xf>
    <xf numFmtId="177" fontId="41" fillId="0" borderId="2" xfId="0" applyNumberFormat="1" applyFont="1" applyBorder="1" applyAlignment="1">
      <alignment horizontal="center" vertical="center"/>
    </xf>
    <xf numFmtId="177" fontId="41" fillId="15" borderId="2" xfId="0" applyNumberFormat="1" applyFont="1" applyFill="1" applyBorder="1" applyAlignment="1" applyProtection="1">
      <alignment horizontal="center" vertical="center"/>
      <protection locked="0"/>
    </xf>
    <xf numFmtId="177" fontId="41" fillId="0" borderId="2" xfId="0" applyNumberFormat="1" applyFont="1" applyBorder="1" applyAlignment="1">
      <alignment horizontal="center" vertical="center" wrapText="1"/>
    </xf>
    <xf numFmtId="177" fontId="41" fillId="0" borderId="30" xfId="0" applyNumberFormat="1" applyFont="1" applyBorder="1" applyAlignment="1">
      <alignment horizontal="center" vertical="center"/>
    </xf>
    <xf numFmtId="177" fontId="41" fillId="15" borderId="30" xfId="0" applyNumberFormat="1" applyFont="1" applyFill="1" applyBorder="1" applyAlignment="1" applyProtection="1">
      <alignment horizontal="center" vertical="center"/>
      <protection locked="0"/>
    </xf>
    <xf numFmtId="177" fontId="41" fillId="0" borderId="30" xfId="0" applyNumberFormat="1" applyFont="1" applyBorder="1" applyAlignment="1">
      <alignment horizontal="center" vertical="center" wrapText="1"/>
    </xf>
    <xf numFmtId="178" fontId="41" fillId="0" borderId="56" xfId="0" applyNumberFormat="1" applyFont="1" applyBorder="1" applyAlignment="1">
      <alignment horizontal="center" vertical="center" wrapText="1"/>
    </xf>
    <xf numFmtId="178" fontId="41" fillId="0" borderId="2" xfId="0" applyNumberFormat="1" applyFont="1" applyBorder="1" applyAlignment="1">
      <alignment horizontal="center" vertical="center" wrapText="1"/>
    </xf>
    <xf numFmtId="178" fontId="41" fillId="0" borderId="30" xfId="0" applyNumberFormat="1" applyFont="1" applyBorder="1" applyAlignment="1">
      <alignment horizontal="center" vertical="center" wrapText="1"/>
    </xf>
    <xf numFmtId="0" fontId="7" fillId="16" borderId="43" xfId="0" applyFont="1" applyFill="1" applyBorder="1" applyAlignment="1">
      <alignment horizontal="left" vertical="center"/>
    </xf>
    <xf numFmtId="0" fontId="7" fillId="16" borderId="17" xfId="0" applyFont="1" applyFill="1" applyBorder="1" applyAlignment="1">
      <alignment horizontal="left" vertical="center"/>
    </xf>
    <xf numFmtId="0" fontId="7" fillId="16" borderId="63" xfId="0" applyFont="1" applyFill="1" applyBorder="1" applyAlignment="1">
      <alignment horizontal="left" vertical="center"/>
    </xf>
    <xf numFmtId="0" fontId="7" fillId="16" borderId="64" xfId="0" applyFont="1" applyFill="1" applyBorder="1" applyAlignment="1">
      <alignment horizontal="left" vertical="center"/>
    </xf>
    <xf numFmtId="0" fontId="7" fillId="16" borderId="65" xfId="0" applyFont="1" applyFill="1" applyBorder="1" applyAlignment="1">
      <alignment horizontal="left" vertical="center"/>
    </xf>
    <xf numFmtId="0" fontId="10" fillId="4" borderId="57" xfId="0" applyFont="1" applyFill="1" applyBorder="1" applyAlignment="1">
      <alignment horizontal="center" vertical="top" wrapText="1"/>
    </xf>
    <xf numFmtId="0" fontId="43" fillId="17" borderId="8" xfId="0" quotePrefix="1" applyFont="1" applyFill="1" applyBorder="1" applyAlignment="1">
      <alignment vertical="top"/>
    </xf>
    <xf numFmtId="0" fontId="43" fillId="17" borderId="50" xfId="0" quotePrefix="1" applyFont="1" applyFill="1" applyBorder="1" applyAlignment="1">
      <alignment vertical="top"/>
    </xf>
    <xf numFmtId="0" fontId="10" fillId="4" borderId="11" xfId="0" applyFont="1" applyFill="1" applyBorder="1" applyAlignment="1">
      <alignment horizontal="left" vertical="center"/>
    </xf>
    <xf numFmtId="0" fontId="10" fillId="4" borderId="77" xfId="0" applyFont="1" applyFill="1" applyBorder="1" applyAlignment="1">
      <alignment horizontal="left" vertical="center"/>
    </xf>
    <xf numFmtId="0" fontId="10" fillId="4" borderId="38" xfId="0" applyFont="1" applyFill="1" applyBorder="1" applyAlignment="1">
      <alignment horizontal="left" vertical="center"/>
    </xf>
    <xf numFmtId="44" fontId="7" fillId="0" borderId="43" xfId="0" applyNumberFormat="1" applyFont="1" applyBorder="1" applyAlignment="1">
      <alignment horizontal="center" vertical="center"/>
    </xf>
    <xf numFmtId="44" fontId="7" fillId="0" borderId="23" xfId="0" applyNumberFormat="1" applyFont="1" applyBorder="1" applyAlignment="1">
      <alignment horizontal="center" vertical="center"/>
    </xf>
    <xf numFmtId="43" fontId="7" fillId="0" borderId="23" xfId="1" applyFont="1" applyFill="1" applyBorder="1" applyAlignment="1">
      <alignment horizontal="center" vertical="center"/>
    </xf>
    <xf numFmtId="44" fontId="7" fillId="0" borderId="143" xfId="0" applyNumberFormat="1" applyFont="1" applyBorder="1" applyAlignment="1">
      <alignment horizontal="center" vertical="center"/>
    </xf>
    <xf numFmtId="44" fontId="7" fillId="0" borderId="144" xfId="0" applyNumberFormat="1" applyFont="1" applyBorder="1" applyAlignment="1">
      <alignment horizontal="center" vertical="center"/>
    </xf>
    <xf numFmtId="44" fontId="7" fillId="0" borderId="145" xfId="0" applyNumberFormat="1" applyFont="1" applyBorder="1" applyAlignment="1">
      <alignment horizontal="center" vertical="center"/>
    </xf>
    <xf numFmtId="44" fontId="7" fillId="15" borderId="143" xfId="0" applyNumberFormat="1" applyFont="1" applyFill="1" applyBorder="1" applyAlignment="1" applyProtection="1">
      <alignment horizontal="center" vertical="center"/>
      <protection locked="0"/>
    </xf>
    <xf numFmtId="44" fontId="7" fillId="15" borderId="144" xfId="0" applyNumberFormat="1" applyFont="1" applyFill="1" applyBorder="1" applyAlignment="1" applyProtection="1">
      <alignment horizontal="center" vertical="center"/>
      <protection locked="0"/>
    </xf>
    <xf numFmtId="44" fontId="7" fillId="15" borderId="145" xfId="0" applyNumberFormat="1" applyFont="1" applyFill="1" applyBorder="1" applyAlignment="1" applyProtection="1">
      <alignment horizontal="center" vertical="center"/>
      <protection locked="0"/>
    </xf>
    <xf numFmtId="0" fontId="7" fillId="0" borderId="0" xfId="0" applyFont="1" applyAlignment="1">
      <alignment horizontal="left" vertical="top" wrapText="1"/>
    </xf>
    <xf numFmtId="0" fontId="0" fillId="0" borderId="0" xfId="0" applyAlignment="1">
      <alignment wrapText="1"/>
    </xf>
    <xf numFmtId="0" fontId="7" fillId="0" borderId="19" xfId="0" applyFont="1" applyBorder="1" applyAlignment="1">
      <alignment horizontal="left" vertical="center"/>
    </xf>
    <xf numFmtId="0" fontId="7" fillId="0" borderId="4" xfId="0" applyFont="1" applyBorder="1" applyAlignment="1">
      <alignment horizontal="left" vertical="center"/>
    </xf>
    <xf numFmtId="0" fontId="51" fillId="0" borderId="0" xfId="0" applyFont="1"/>
    <xf numFmtId="0" fontId="7" fillId="16" borderId="49" xfId="0" applyFont="1" applyFill="1" applyBorder="1" applyAlignment="1">
      <alignment vertical="center"/>
    </xf>
    <xf numFmtId="0" fontId="7" fillId="16" borderId="0" xfId="0" applyFont="1" applyFill="1" applyAlignment="1">
      <alignment vertical="top"/>
    </xf>
    <xf numFmtId="0" fontId="49" fillId="16" borderId="27" xfId="0" applyFont="1" applyFill="1" applyBorder="1" applyAlignment="1">
      <alignment horizontal="center" vertical="center"/>
    </xf>
    <xf numFmtId="0" fontId="2" fillId="0" borderId="0" xfId="11" applyFont="1" applyAlignment="1">
      <alignment horizontal="center"/>
    </xf>
    <xf numFmtId="0" fontId="2" fillId="0" borderId="0" xfId="11" applyFont="1" applyAlignment="1">
      <alignment wrapText="1"/>
    </xf>
    <xf numFmtId="167" fontId="7" fillId="16" borderId="19" xfId="0" applyNumberFormat="1" applyFont="1" applyFill="1" applyBorder="1" applyAlignment="1">
      <alignment vertical="center"/>
    </xf>
    <xf numFmtId="0" fontId="54" fillId="0" borderId="0" xfId="0" applyFont="1"/>
    <xf numFmtId="0" fontId="10" fillId="4" borderId="58" xfId="0" applyFont="1" applyFill="1" applyBorder="1" applyAlignment="1">
      <alignment horizontal="center" vertical="top" wrapText="1"/>
    </xf>
    <xf numFmtId="0" fontId="10" fillId="4" borderId="34" xfId="0" applyFont="1" applyFill="1" applyBorder="1" applyAlignment="1">
      <alignment horizontal="left" vertical="center"/>
    </xf>
    <xf numFmtId="49" fontId="10" fillId="4" borderId="85" xfId="0" applyNumberFormat="1" applyFont="1" applyFill="1" applyBorder="1" applyAlignment="1">
      <alignment vertical="center"/>
    </xf>
    <xf numFmtId="170" fontId="10" fillId="0" borderId="18" xfId="0" applyNumberFormat="1" applyFont="1" applyBorder="1" applyAlignment="1">
      <alignment horizontal="center" vertical="center" wrapText="1"/>
    </xf>
    <xf numFmtId="170" fontId="10" fillId="0" borderId="26" xfId="0" applyNumberFormat="1" applyFont="1" applyBorder="1" applyAlignment="1">
      <alignment horizontal="center" vertical="center" wrapText="1"/>
    </xf>
    <xf numFmtId="170" fontId="10" fillId="0" borderId="48" xfId="0" applyNumberFormat="1" applyFont="1" applyBorder="1" applyAlignment="1">
      <alignment horizontal="center" vertical="center" wrapText="1"/>
    </xf>
    <xf numFmtId="0" fontId="1" fillId="0" borderId="0" xfId="11" applyFont="1" applyAlignment="1">
      <alignment horizontal="center"/>
    </xf>
    <xf numFmtId="0" fontId="1" fillId="0" borderId="0" xfId="11" applyFont="1" applyAlignment="1">
      <alignment wrapText="1"/>
    </xf>
    <xf numFmtId="44" fontId="7" fillId="15" borderId="58" xfId="0" applyNumberFormat="1" applyFont="1" applyFill="1" applyBorder="1" applyAlignment="1" applyProtection="1">
      <alignment horizontal="center" vertical="center"/>
      <protection locked="0"/>
    </xf>
    <xf numFmtId="44" fontId="7" fillId="15" borderId="18" xfId="0" applyNumberFormat="1" applyFont="1" applyFill="1" applyBorder="1" applyAlignment="1" applyProtection="1">
      <alignment horizontal="center" vertical="center"/>
      <protection locked="0"/>
    </xf>
    <xf numFmtId="44" fontId="7" fillId="15" borderId="32" xfId="0" applyNumberFormat="1" applyFont="1" applyFill="1" applyBorder="1" applyAlignment="1" applyProtection="1">
      <alignment horizontal="center" vertical="center"/>
      <protection locked="0"/>
    </xf>
    <xf numFmtId="0" fontId="8" fillId="5" borderId="5" xfId="11" applyFont="1" applyFill="1" applyBorder="1" applyProtection="1">
      <protection locked="0"/>
    </xf>
    <xf numFmtId="1" fontId="8" fillId="5" borderId="5" xfId="11" applyNumberFormat="1" applyFont="1" applyFill="1" applyBorder="1" applyAlignment="1" applyProtection="1">
      <alignment horizontal="left"/>
      <protection locked="0"/>
    </xf>
    <xf numFmtId="172" fontId="8" fillId="5" borderId="5" xfId="11" applyNumberFormat="1" applyFont="1" applyFill="1" applyBorder="1" applyAlignment="1" applyProtection="1">
      <alignment horizontal="left"/>
      <protection locked="0"/>
    </xf>
    <xf numFmtId="49" fontId="9" fillId="5" borderId="5" xfId="9" applyNumberFormat="1" applyFill="1" applyBorder="1" applyAlignment="1" applyProtection="1">
      <protection locked="0"/>
    </xf>
    <xf numFmtId="49" fontId="8" fillId="5" borderId="5" xfId="11" applyNumberFormat="1" applyFont="1" applyFill="1" applyBorder="1" applyProtection="1">
      <protection locked="0"/>
    </xf>
    <xf numFmtId="0" fontId="8" fillId="5" borderId="5" xfId="11" applyFont="1" applyFill="1" applyBorder="1" applyAlignment="1" applyProtection="1">
      <alignment horizontal="left"/>
      <protection locked="0"/>
    </xf>
    <xf numFmtId="0" fontId="44" fillId="5" borderId="5" xfId="11" applyFill="1" applyBorder="1" applyAlignment="1">
      <alignment horizontal="left"/>
    </xf>
    <xf numFmtId="172" fontId="44" fillId="5" borderId="5" xfId="11" applyNumberFormat="1" applyFill="1" applyBorder="1" applyAlignment="1" applyProtection="1">
      <alignment horizontal="left"/>
      <protection locked="0"/>
    </xf>
    <xf numFmtId="14" fontId="8" fillId="5" borderId="5" xfId="11" applyNumberFormat="1" applyFont="1" applyFill="1" applyBorder="1" applyAlignment="1" applyProtection="1">
      <alignment horizontal="left"/>
      <protection locked="0"/>
    </xf>
    <xf numFmtId="0" fontId="7" fillId="9" borderId="19" xfId="0" applyFont="1" applyFill="1" applyBorder="1" applyAlignment="1">
      <alignment horizontal="center" vertical="top" wrapText="1"/>
    </xf>
    <xf numFmtId="0" fontId="7" fillId="9" borderId="51" xfId="0" applyFont="1" applyFill="1" applyBorder="1" applyAlignment="1">
      <alignment horizontal="center" vertical="top" wrapText="1"/>
    </xf>
    <xf numFmtId="6" fontId="7" fillId="0" borderId="94" xfId="0" applyNumberFormat="1" applyFont="1" applyBorder="1" applyAlignment="1">
      <alignment horizontal="center" vertical="center"/>
    </xf>
    <xf numFmtId="6" fontId="7" fillId="0" borderId="95" xfId="0" applyNumberFormat="1" applyFont="1" applyBorder="1" applyAlignment="1">
      <alignment horizontal="center" vertical="center"/>
    </xf>
    <xf numFmtId="0" fontId="7" fillId="9" borderId="72" xfId="0" applyFont="1" applyFill="1" applyBorder="1" applyAlignment="1">
      <alignment horizontal="center" vertical="top" wrapText="1"/>
    </xf>
    <xf numFmtId="0" fontId="7" fillId="9" borderId="71" xfId="0" applyFont="1" applyFill="1" applyBorder="1" applyAlignment="1">
      <alignment horizontal="center" vertical="top" wrapText="1"/>
    </xf>
    <xf numFmtId="6" fontId="7" fillId="0" borderId="110" xfId="0" applyNumberFormat="1" applyFont="1" applyBorder="1" applyAlignment="1">
      <alignment horizontal="center" vertical="center"/>
    </xf>
    <xf numFmtId="6" fontId="7" fillId="0" borderId="111" xfId="0" applyNumberFormat="1" applyFont="1" applyBorder="1" applyAlignment="1">
      <alignment horizontal="center" vertical="center"/>
    </xf>
    <xf numFmtId="6" fontId="7" fillId="0" borderId="96" xfId="0" applyNumberFormat="1" applyFont="1" applyBorder="1" applyAlignment="1">
      <alignment horizontal="center" vertical="center"/>
    </xf>
    <xf numFmtId="6" fontId="7" fillId="0" borderId="97" xfId="0" applyNumberFormat="1" applyFont="1" applyBorder="1" applyAlignment="1">
      <alignment horizontal="center" vertical="center"/>
    </xf>
    <xf numFmtId="0" fontId="7" fillId="9" borderId="60" xfId="0" applyFont="1" applyFill="1" applyBorder="1" applyAlignment="1">
      <alignment horizontal="center" vertical="top" wrapText="1"/>
    </xf>
    <xf numFmtId="0" fontId="7" fillId="9" borderId="62" xfId="0" applyFont="1" applyFill="1" applyBorder="1" applyAlignment="1">
      <alignment horizontal="center" vertical="top" wrapText="1"/>
    </xf>
    <xf numFmtId="6" fontId="7" fillId="0" borderId="104" xfId="0" applyNumberFormat="1" applyFont="1" applyBorder="1" applyAlignment="1">
      <alignment horizontal="center" vertical="center"/>
    </xf>
    <xf numFmtId="6" fontId="7" fillId="0" borderId="105" xfId="0" applyNumberFormat="1" applyFont="1" applyBorder="1" applyAlignment="1">
      <alignment horizontal="center" vertical="center"/>
    </xf>
    <xf numFmtId="0" fontId="7" fillId="0" borderId="72" xfId="0" applyFont="1" applyBorder="1" applyAlignment="1">
      <alignment horizontal="left" vertical="center"/>
    </xf>
    <xf numFmtId="0" fontId="7" fillId="0" borderId="70" xfId="0" applyFont="1" applyBorder="1" applyAlignment="1">
      <alignment horizontal="left" vertical="center"/>
    </xf>
    <xf numFmtId="0" fontId="7" fillId="0" borderId="19" xfId="0" applyFont="1" applyBorder="1" applyAlignment="1">
      <alignment horizontal="left" vertical="center"/>
    </xf>
    <xf numFmtId="0" fontId="7" fillId="0" borderId="4" xfId="0" applyFont="1" applyBorder="1" applyAlignment="1">
      <alignment horizontal="left" vertical="center"/>
    </xf>
    <xf numFmtId="0" fontId="7" fillId="16" borderId="19" xfId="0" applyFont="1" applyFill="1" applyBorder="1" applyAlignment="1">
      <alignment horizontal="center" vertical="center"/>
    </xf>
    <xf numFmtId="0" fontId="7" fillId="16" borderId="51" xfId="0" applyFont="1" applyFill="1" applyBorder="1" applyAlignment="1">
      <alignment horizontal="center" vertical="center"/>
    </xf>
    <xf numFmtId="6" fontId="7" fillId="0" borderId="108" xfId="0" applyNumberFormat="1" applyFont="1" applyBorder="1" applyAlignment="1">
      <alignment horizontal="center" vertical="center"/>
    </xf>
    <xf numFmtId="6" fontId="7" fillId="0" borderId="109" xfId="0" applyNumberFormat="1" applyFont="1" applyBorder="1" applyAlignment="1">
      <alignment horizontal="center" vertical="center"/>
    </xf>
    <xf numFmtId="6" fontId="7" fillId="0" borderId="138" xfId="0" applyNumberFormat="1" applyFont="1" applyBorder="1" applyAlignment="1">
      <alignment horizontal="center" vertical="center"/>
    </xf>
    <xf numFmtId="6" fontId="7" fillId="0" borderId="139" xfId="0" applyNumberFormat="1" applyFont="1" applyBorder="1" applyAlignment="1">
      <alignment horizontal="center" vertical="center"/>
    </xf>
    <xf numFmtId="6" fontId="7" fillId="0" borderId="92" xfId="0" applyNumberFormat="1" applyFont="1" applyBorder="1" applyAlignment="1">
      <alignment horizontal="center" vertical="center"/>
    </xf>
    <xf numFmtId="6" fontId="7" fillId="0" borderId="98" xfId="0" applyNumberFormat="1" applyFont="1" applyBorder="1" applyAlignment="1">
      <alignment horizontal="center" vertical="center"/>
    </xf>
    <xf numFmtId="6" fontId="7" fillId="0" borderId="106" xfId="0" applyNumberFormat="1" applyFont="1" applyBorder="1" applyAlignment="1">
      <alignment horizontal="center" vertical="center"/>
    </xf>
    <xf numFmtId="6" fontId="7" fillId="0" borderId="107" xfId="0" applyNumberFormat="1" applyFont="1" applyBorder="1" applyAlignment="1">
      <alignment horizontal="center" vertical="center"/>
    </xf>
    <xf numFmtId="6" fontId="7" fillId="0" borderId="99" xfId="0" applyNumberFormat="1" applyFont="1" applyBorder="1" applyAlignment="1">
      <alignment horizontal="center" vertical="center"/>
    </xf>
    <xf numFmtId="6" fontId="7" fillId="0" borderId="93" xfId="0" applyNumberFormat="1" applyFont="1" applyBorder="1" applyAlignment="1">
      <alignment horizontal="center" vertical="center"/>
    </xf>
    <xf numFmtId="0" fontId="7" fillId="9" borderId="16" xfId="0" applyFont="1" applyFill="1" applyBorder="1" applyAlignment="1">
      <alignment horizontal="center" vertical="top"/>
    </xf>
    <xf numFmtId="0" fontId="7" fillId="9" borderId="89" xfId="0" applyFont="1" applyFill="1" applyBorder="1" applyAlignment="1">
      <alignment horizontal="center" vertical="top"/>
    </xf>
    <xf numFmtId="0" fontId="8" fillId="4" borderId="55" xfId="0" applyFont="1" applyFill="1" applyBorder="1" applyAlignment="1">
      <alignment horizontal="center" vertical="top" wrapText="1"/>
    </xf>
    <xf numFmtId="0" fontId="8" fillId="4" borderId="56" xfId="0" applyFont="1" applyFill="1" applyBorder="1" applyAlignment="1">
      <alignment horizontal="center" vertical="top" wrapText="1"/>
    </xf>
    <xf numFmtId="0" fontId="8" fillId="4" borderId="58" xfId="0" applyFont="1" applyFill="1" applyBorder="1" applyAlignment="1">
      <alignment horizontal="center" vertical="top" wrapText="1"/>
    </xf>
    <xf numFmtId="0" fontId="8" fillId="4" borderId="64" xfId="0" applyFont="1" applyFill="1" applyBorder="1" applyAlignment="1">
      <alignment horizontal="center" vertical="top"/>
    </xf>
    <xf numFmtId="0" fontId="8" fillId="4" borderId="56" xfId="0" applyFont="1" applyFill="1" applyBorder="1" applyAlignment="1">
      <alignment horizontal="center" vertical="top"/>
    </xf>
    <xf numFmtId="0" fontId="8" fillId="4" borderId="58" xfId="0" applyFont="1" applyFill="1" applyBorder="1" applyAlignment="1">
      <alignment horizontal="center" vertical="top"/>
    </xf>
    <xf numFmtId="0" fontId="10" fillId="4" borderId="10" xfId="0" applyFont="1" applyFill="1" applyBorder="1" applyAlignment="1">
      <alignment horizontal="center" vertical="top" wrapText="1"/>
    </xf>
    <xf numFmtId="0" fontId="10" fillId="4" borderId="91" xfId="0" applyFont="1" applyFill="1" applyBorder="1" applyAlignment="1">
      <alignment horizontal="center" vertical="top" wrapText="1"/>
    </xf>
    <xf numFmtId="0" fontId="7" fillId="16" borderId="5" xfId="0" applyFont="1" applyFill="1" applyBorder="1" applyAlignment="1">
      <alignment horizontal="left" vertical="top" wrapText="1"/>
    </xf>
    <xf numFmtId="0" fontId="10" fillId="4" borderId="60" xfId="0" quotePrefix="1" applyFont="1" applyFill="1" applyBorder="1" applyAlignment="1">
      <alignment horizontal="center" vertical="top" wrapText="1"/>
    </xf>
    <xf numFmtId="0" fontId="10" fillId="4" borderId="61" xfId="0" quotePrefix="1" applyFont="1" applyFill="1" applyBorder="1" applyAlignment="1">
      <alignment horizontal="center" vertical="top" wrapText="1"/>
    </xf>
    <xf numFmtId="0" fontId="10" fillId="4" borderId="13" xfId="0" applyFont="1" applyFill="1" applyBorder="1" applyAlignment="1">
      <alignment horizontal="center" vertical="top" wrapText="1"/>
    </xf>
    <xf numFmtId="0" fontId="10" fillId="4" borderId="34" xfId="0" applyFont="1" applyFill="1" applyBorder="1" applyAlignment="1">
      <alignment horizontal="center" vertical="top" wrapText="1"/>
    </xf>
    <xf numFmtId="0" fontId="10" fillId="4" borderId="100" xfId="0" applyFont="1" applyFill="1" applyBorder="1" applyAlignment="1">
      <alignment horizontal="center" vertical="top" wrapText="1"/>
    </xf>
    <xf numFmtId="0" fontId="10" fillId="4" borderId="101" xfId="0" applyFont="1" applyFill="1" applyBorder="1" applyAlignment="1">
      <alignment horizontal="center" vertical="top" wrapText="1"/>
    </xf>
    <xf numFmtId="6" fontId="7" fillId="0" borderId="102" xfId="0" applyNumberFormat="1" applyFont="1" applyBorder="1" applyAlignment="1">
      <alignment horizontal="center" vertical="center"/>
    </xf>
    <xf numFmtId="6" fontId="7" fillId="0" borderId="103" xfId="0" applyNumberFormat="1" applyFont="1" applyBorder="1" applyAlignment="1">
      <alignment horizontal="center" vertical="center"/>
    </xf>
    <xf numFmtId="0" fontId="10" fillId="0" borderId="0" xfId="0" applyFont="1" applyAlignment="1">
      <alignment horizontal="center" vertical="center" wrapText="1"/>
    </xf>
    <xf numFmtId="0" fontId="6" fillId="4" borderId="11" xfId="0" quotePrefix="1" applyFont="1" applyFill="1" applyBorder="1" applyAlignment="1">
      <alignment horizontal="left" vertical="center"/>
    </xf>
    <xf numFmtId="0" fontId="6" fillId="4" borderId="13" xfId="0" quotePrefix="1" applyFont="1" applyFill="1" applyBorder="1" applyAlignment="1">
      <alignment horizontal="left" vertical="center"/>
    </xf>
    <xf numFmtId="0" fontId="6" fillId="4" borderId="34" xfId="0" quotePrefix="1" applyFont="1" applyFill="1" applyBorder="1" applyAlignment="1">
      <alignment horizontal="left" vertical="center"/>
    </xf>
    <xf numFmtId="0" fontId="10" fillId="4" borderId="75" xfId="0" applyFont="1" applyFill="1" applyBorder="1" applyAlignment="1">
      <alignment horizontal="center" vertical="top" wrapText="1"/>
    </xf>
    <xf numFmtId="0" fontId="5" fillId="0" borderId="56" xfId="0" applyFont="1" applyBorder="1" applyAlignment="1">
      <alignment horizontal="center" vertical="top" wrapText="1"/>
    </xf>
    <xf numFmtId="0" fontId="5" fillId="0" borderId="58" xfId="0" applyFont="1" applyBorder="1" applyAlignment="1">
      <alignment horizontal="center" vertical="top" wrapText="1"/>
    </xf>
    <xf numFmtId="0" fontId="7" fillId="9" borderId="42" xfId="0" applyFont="1" applyFill="1" applyBorder="1" applyAlignment="1">
      <alignment horizontal="center" vertical="top"/>
    </xf>
    <xf numFmtId="0" fontId="7" fillId="9" borderId="90" xfId="0" applyFont="1" applyFill="1" applyBorder="1" applyAlignment="1">
      <alignment horizontal="center" vertical="top"/>
    </xf>
    <xf numFmtId="0" fontId="7" fillId="9" borderId="53" xfId="0" applyFont="1" applyFill="1" applyBorder="1" applyAlignment="1">
      <alignment horizontal="center" vertical="top"/>
    </xf>
    <xf numFmtId="0" fontId="7" fillId="9" borderId="88" xfId="0" applyFont="1" applyFill="1" applyBorder="1" applyAlignment="1">
      <alignment horizontal="center" vertical="top"/>
    </xf>
    <xf numFmtId="0" fontId="10" fillId="4" borderId="44" xfId="0" applyFont="1" applyFill="1" applyBorder="1" applyAlignment="1">
      <alignment horizontal="center" vertical="top" wrapText="1"/>
    </xf>
    <xf numFmtId="0" fontId="53" fillId="0" borderId="0" xfId="0" applyFont="1" applyAlignment="1">
      <alignment horizontal="center" vertical="center" wrapText="1"/>
    </xf>
    <xf numFmtId="0" fontId="10" fillId="4" borderId="11" xfId="0" applyFont="1" applyFill="1" applyBorder="1" applyAlignment="1">
      <alignment horizontal="center" vertical="top" wrapText="1"/>
    </xf>
    <xf numFmtId="0" fontId="10" fillId="4" borderId="126" xfId="0" applyFont="1" applyFill="1" applyBorder="1" applyAlignment="1">
      <alignment horizontal="center" vertical="top" wrapText="1"/>
    </xf>
    <xf numFmtId="0" fontId="10" fillId="4" borderId="128" xfId="0" applyFont="1" applyFill="1" applyBorder="1" applyAlignment="1">
      <alignment horizontal="center" vertical="top" wrapText="1"/>
    </xf>
    <xf numFmtId="0" fontId="10" fillId="4" borderId="141" xfId="0" applyFont="1" applyFill="1" applyBorder="1" applyAlignment="1">
      <alignment horizontal="center" vertical="top" wrapText="1"/>
    </xf>
    <xf numFmtId="0" fontId="10" fillId="4" borderId="142" xfId="0" applyFont="1" applyFill="1" applyBorder="1" applyAlignment="1">
      <alignment horizontal="center" vertical="top" wrapText="1"/>
    </xf>
    <xf numFmtId="0" fontId="7" fillId="16" borderId="17" xfId="0" applyFont="1" applyFill="1" applyBorder="1" applyAlignment="1">
      <alignment horizontal="center" vertical="center"/>
    </xf>
    <xf numFmtId="0" fontId="7" fillId="9" borderId="49" xfId="0" applyFont="1" applyFill="1" applyBorder="1" applyAlignment="1">
      <alignment horizontal="center" vertical="top" wrapText="1"/>
    </xf>
    <xf numFmtId="0" fontId="7" fillId="9" borderId="29" xfId="0" applyFont="1" applyFill="1" applyBorder="1" applyAlignment="1">
      <alignment horizontal="center" vertical="top" wrapText="1"/>
    </xf>
    <xf numFmtId="6" fontId="7" fillId="0" borderId="146" xfId="0" applyNumberFormat="1" applyFont="1" applyBorder="1" applyAlignment="1">
      <alignment horizontal="center" vertical="center"/>
    </xf>
    <xf numFmtId="6" fontId="7" fillId="0" borderId="147" xfId="0" applyNumberFormat="1" applyFont="1" applyBorder="1" applyAlignment="1">
      <alignment horizontal="center" vertical="center"/>
    </xf>
    <xf numFmtId="0" fontId="7" fillId="9" borderId="22" xfId="0" applyFont="1" applyFill="1" applyBorder="1" applyAlignment="1">
      <alignment horizontal="center" vertical="top" wrapText="1"/>
    </xf>
    <xf numFmtId="0" fontId="7" fillId="9" borderId="27" xfId="0" applyFont="1" applyFill="1" applyBorder="1" applyAlignment="1">
      <alignment horizontal="center" vertical="top" wrapText="1"/>
    </xf>
    <xf numFmtId="0" fontId="5" fillId="0" borderId="77" xfId="0" applyFont="1" applyBorder="1" applyAlignment="1">
      <alignment wrapText="1"/>
    </xf>
    <xf numFmtId="0" fontId="0" fillId="0" borderId="77" xfId="0" applyBorder="1" applyAlignment="1">
      <alignment wrapText="1"/>
    </xf>
    <xf numFmtId="0" fontId="7" fillId="0" borderId="114" xfId="0" applyFont="1" applyBorder="1" applyAlignment="1">
      <alignment horizontal="center" vertical="center"/>
    </xf>
    <xf numFmtId="0" fontId="7" fillId="0" borderId="4" xfId="0" applyFont="1" applyBorder="1" applyAlignment="1">
      <alignment horizontal="center" vertical="center"/>
    </xf>
    <xf numFmtId="0" fontId="7" fillId="0" borderId="17" xfId="0" applyFont="1" applyBorder="1" applyAlignment="1">
      <alignment horizontal="center" vertical="center"/>
    </xf>
    <xf numFmtId="0" fontId="7" fillId="0" borderId="3" xfId="0" applyFont="1" applyBorder="1" applyAlignment="1">
      <alignment horizontal="center" vertical="center"/>
    </xf>
    <xf numFmtId="0" fontId="7" fillId="0" borderId="112" xfId="0" applyFont="1" applyBorder="1" applyAlignment="1">
      <alignment horizontal="center" vertical="center"/>
    </xf>
    <xf numFmtId="0" fontId="10" fillId="0" borderId="140" xfId="0" applyFont="1" applyBorder="1" applyAlignment="1">
      <alignment horizontal="center" vertical="top" wrapText="1"/>
    </xf>
    <xf numFmtId="0" fontId="10" fillId="0" borderId="41" xfId="0" applyFont="1" applyBorder="1" applyAlignment="1">
      <alignment horizontal="center" vertical="top" wrapText="1"/>
    </xf>
    <xf numFmtId="0" fontId="10" fillId="0" borderId="21" xfId="0" applyFont="1" applyBorder="1" applyAlignment="1">
      <alignment horizontal="center" vertical="top" wrapText="1"/>
    </xf>
    <xf numFmtId="0" fontId="10" fillId="0" borderId="43" xfId="0" applyFont="1" applyBorder="1" applyAlignment="1">
      <alignment horizontal="center" vertical="top" wrapText="1"/>
    </xf>
    <xf numFmtId="0" fontId="0" fillId="0" borderId="0" xfId="0" applyAlignment="1">
      <alignment wrapText="1"/>
    </xf>
    <xf numFmtId="170" fontId="31" fillId="0" borderId="123" xfId="0" applyNumberFormat="1" applyFont="1" applyBorder="1" applyAlignment="1">
      <alignment horizontal="center" vertical="center"/>
    </xf>
    <xf numFmtId="170" fontId="31" fillId="0" borderId="124" xfId="0" applyNumberFormat="1" applyFont="1" applyBorder="1" applyAlignment="1">
      <alignment horizontal="center" vertical="center"/>
    </xf>
    <xf numFmtId="0" fontId="42" fillId="4" borderId="129" xfId="0" applyFont="1" applyFill="1" applyBorder="1" applyAlignment="1">
      <alignment horizontal="center" vertical="top" wrapText="1"/>
    </xf>
    <xf numFmtId="0" fontId="42" fillId="4" borderId="2" xfId="0" quotePrefix="1" applyFont="1" applyFill="1" applyBorder="1" applyAlignment="1">
      <alignment horizontal="center" vertical="top" wrapText="1"/>
    </xf>
    <xf numFmtId="0" fontId="7" fillId="0" borderId="119" xfId="0" applyFont="1" applyBorder="1" applyAlignment="1">
      <alignment horizontal="center" vertical="center"/>
    </xf>
    <xf numFmtId="0" fontId="7" fillId="0" borderId="120" xfId="0" applyFont="1" applyBorder="1" applyAlignment="1">
      <alignment horizontal="center" vertical="center"/>
    </xf>
    <xf numFmtId="0" fontId="7" fillId="0" borderId="79" xfId="0" applyFont="1" applyBorder="1" applyAlignment="1">
      <alignment horizontal="center" vertical="center"/>
    </xf>
    <xf numFmtId="0" fontId="42" fillId="4" borderId="36" xfId="0" applyFont="1" applyFill="1" applyBorder="1" applyAlignment="1">
      <alignment horizontal="center" vertical="top" wrapText="1"/>
    </xf>
    <xf numFmtId="0" fontId="42" fillId="4" borderId="8" xfId="0" applyFont="1" applyFill="1" applyBorder="1" applyAlignment="1">
      <alignment horizontal="center" vertical="top" wrapText="1"/>
    </xf>
    <xf numFmtId="0" fontId="42" fillId="4" borderId="50" xfId="0" applyFont="1" applyFill="1" applyBorder="1" applyAlignment="1">
      <alignment horizontal="center" vertical="top" wrapText="1"/>
    </xf>
    <xf numFmtId="0" fontId="41" fillId="0" borderId="16" xfId="0" applyFont="1" applyBorder="1" applyAlignment="1">
      <alignment horizontal="left" vertical="center" wrapText="1"/>
    </xf>
    <xf numFmtId="0" fontId="41" fillId="0" borderId="2" xfId="0" applyFont="1" applyBorder="1" applyAlignment="1">
      <alignment horizontal="left" vertical="center" wrapText="1"/>
    </xf>
    <xf numFmtId="0" fontId="41" fillId="0" borderId="18" xfId="0" applyFont="1" applyBorder="1" applyAlignment="1">
      <alignment horizontal="left" vertical="center" wrapText="1"/>
    </xf>
    <xf numFmtId="6" fontId="41" fillId="0" borderId="3" xfId="0" applyNumberFormat="1" applyFont="1" applyBorder="1" applyAlignment="1">
      <alignment horizontal="center" vertical="center"/>
    </xf>
    <xf numFmtId="0" fontId="0" fillId="0" borderId="4" xfId="0" applyBorder="1" applyAlignment="1">
      <alignment horizontal="center" vertical="center"/>
    </xf>
    <xf numFmtId="0" fontId="0" fillId="0" borderId="51" xfId="0" applyBorder="1" applyAlignment="1">
      <alignment horizontal="center" vertical="center"/>
    </xf>
    <xf numFmtId="170" fontId="41" fillId="0" borderId="19" xfId="0" applyNumberFormat="1" applyFont="1" applyBorder="1" applyAlignment="1">
      <alignment horizontal="center" vertical="center"/>
    </xf>
    <xf numFmtId="49" fontId="15" fillId="4" borderId="126" xfId="0" quotePrefix="1" applyNumberFormat="1" applyFont="1" applyFill="1" applyBorder="1" applyAlignment="1">
      <alignment horizontal="center" vertical="center"/>
    </xf>
    <xf numFmtId="49" fontId="15" fillId="4" borderId="127" xfId="0" quotePrefix="1" applyNumberFormat="1" applyFont="1" applyFill="1" applyBorder="1" applyAlignment="1">
      <alignment horizontal="center" vertical="center"/>
    </xf>
    <xf numFmtId="49" fontId="15" fillId="4" borderId="128" xfId="0" quotePrefix="1" applyNumberFormat="1" applyFont="1" applyFill="1" applyBorder="1" applyAlignment="1">
      <alignment horizontal="center" vertical="center"/>
    </xf>
    <xf numFmtId="0" fontId="42" fillId="4" borderId="133" xfId="0" applyFont="1" applyFill="1" applyBorder="1" applyAlignment="1">
      <alignment horizontal="center" vertical="top" wrapText="1"/>
    </xf>
    <xf numFmtId="0" fontId="0" fillId="0" borderId="83" xfId="0" applyBorder="1" applyAlignment="1">
      <alignment horizontal="center" vertical="top" wrapText="1"/>
    </xf>
    <xf numFmtId="0" fontId="0" fillId="0" borderId="134" xfId="0" applyBorder="1" applyAlignment="1">
      <alignment horizontal="center" vertical="top" wrapText="1"/>
    </xf>
    <xf numFmtId="0" fontId="10" fillId="0" borderId="0" xfId="0" applyFont="1" applyAlignment="1">
      <alignment horizontal="left"/>
    </xf>
    <xf numFmtId="0" fontId="41" fillId="0" borderId="42" xfId="0" applyFont="1" applyBorder="1" applyAlignment="1">
      <alignment horizontal="left" vertical="center" wrapText="1"/>
    </xf>
    <xf numFmtId="0" fontId="41" fillId="0" borderId="23" xfId="0" applyFont="1" applyBorder="1" applyAlignment="1">
      <alignment horizontal="left" vertical="center" wrapText="1"/>
    </xf>
    <xf numFmtId="0" fontId="41" fillId="0" borderId="26" xfId="0" applyFont="1" applyBorder="1" applyAlignment="1">
      <alignment horizontal="left" vertical="center" wrapText="1"/>
    </xf>
    <xf numFmtId="0" fontId="8" fillId="4" borderId="60" xfId="0" applyFont="1" applyFill="1" applyBorder="1" applyAlignment="1">
      <alignment horizontal="center" vertical="top" wrapText="1"/>
    </xf>
    <xf numFmtId="0" fontId="8" fillId="4" borderId="61" xfId="0" applyFont="1" applyFill="1" applyBorder="1" applyAlignment="1">
      <alignment horizontal="center" vertical="top" wrapText="1"/>
    </xf>
    <xf numFmtId="0" fontId="42" fillId="4" borderId="132" xfId="0" applyFont="1" applyFill="1" applyBorder="1" applyAlignment="1">
      <alignment horizontal="center" vertical="top" wrapText="1"/>
    </xf>
    <xf numFmtId="0" fontId="0" fillId="0" borderId="85" xfId="0" applyBorder="1" applyAlignment="1">
      <alignment horizontal="center" vertical="top" wrapText="1"/>
    </xf>
    <xf numFmtId="0" fontId="8" fillId="4" borderId="60" xfId="0" applyFont="1" applyFill="1" applyBorder="1" applyAlignment="1">
      <alignment horizontal="center" vertical="top"/>
    </xf>
    <xf numFmtId="0" fontId="0" fillId="0" borderId="61" xfId="0" applyBorder="1" applyAlignment="1">
      <alignment horizontal="center" vertical="top"/>
    </xf>
    <xf numFmtId="0" fontId="0" fillId="0" borderId="62" xfId="0" applyBorder="1" applyAlignment="1">
      <alignment horizontal="center" vertical="top"/>
    </xf>
    <xf numFmtId="173" fontId="41" fillId="0" borderId="76" xfId="0" applyNumberFormat="1" applyFont="1" applyBorder="1" applyAlignment="1">
      <alignment horizontal="center" vertical="center"/>
    </xf>
    <xf numFmtId="173" fontId="41" fillId="0" borderId="77" xfId="0" applyNumberFormat="1" applyFont="1" applyBorder="1" applyAlignment="1">
      <alignment horizontal="center" vertical="center"/>
    </xf>
    <xf numFmtId="173" fontId="41" fillId="0" borderId="135" xfId="0" applyNumberFormat="1" applyFont="1" applyBorder="1" applyAlignment="1">
      <alignment horizontal="center" vertical="center"/>
    </xf>
    <xf numFmtId="6" fontId="41" fillId="0" borderId="57" xfId="0" applyNumberFormat="1" applyFont="1"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173" fontId="41" fillId="0" borderId="19" xfId="0" applyNumberFormat="1" applyFont="1" applyBorder="1" applyAlignment="1">
      <alignment horizontal="center" vertical="center"/>
    </xf>
    <xf numFmtId="173" fontId="41" fillId="0" borderId="4" xfId="0" applyNumberFormat="1" applyFont="1" applyBorder="1" applyAlignment="1">
      <alignment horizontal="center" vertical="center"/>
    </xf>
    <xf numFmtId="173" fontId="41" fillId="0" borderId="112" xfId="0" applyNumberFormat="1" applyFont="1" applyBorder="1" applyAlignment="1">
      <alignment horizontal="center" vertical="center"/>
    </xf>
    <xf numFmtId="170" fontId="41" fillId="0" borderId="60" xfId="0" applyNumberFormat="1" applyFont="1" applyBorder="1" applyAlignment="1">
      <alignment horizontal="center" vertical="center"/>
    </xf>
    <xf numFmtId="0" fontId="0" fillId="0" borderId="131" xfId="0" applyBorder="1" applyAlignment="1">
      <alignment horizontal="center" vertical="center"/>
    </xf>
    <xf numFmtId="0" fontId="41" fillId="0" borderId="121" xfId="0" applyFont="1" applyBorder="1" applyAlignment="1">
      <alignment horizontal="left" vertical="center" wrapText="1"/>
    </xf>
    <xf numFmtId="0" fontId="41" fillId="0" borderId="120" xfId="0" applyFont="1" applyBorder="1" applyAlignment="1">
      <alignment horizontal="left" vertical="center" wrapText="1"/>
    </xf>
    <xf numFmtId="0" fontId="41" fillId="0" borderId="122" xfId="0" applyFont="1" applyBorder="1" applyAlignment="1">
      <alignment horizontal="left" vertical="center" wrapText="1"/>
    </xf>
    <xf numFmtId="6" fontId="41" fillId="0" borderId="115" xfId="0" applyNumberFormat="1" applyFont="1" applyBorder="1" applyAlignment="1">
      <alignment horizontal="center" vertical="center"/>
    </xf>
    <xf numFmtId="6" fontId="41" fillId="0" borderId="120" xfId="0" applyNumberFormat="1" applyFont="1" applyBorder="1" applyAlignment="1">
      <alignment horizontal="center" vertical="center"/>
    </xf>
    <xf numFmtId="6" fontId="41" fillId="0" borderId="122" xfId="0" applyNumberFormat="1" applyFont="1" applyBorder="1" applyAlignment="1">
      <alignment horizontal="center" vertical="center"/>
    </xf>
    <xf numFmtId="173" fontId="41" fillId="0" borderId="22" xfId="0" applyNumberFormat="1" applyFont="1" applyBorder="1" applyAlignment="1">
      <alignment horizontal="center" vertical="center"/>
    </xf>
    <xf numFmtId="173" fontId="41" fillId="0" borderId="5" xfId="0" applyNumberFormat="1" applyFont="1" applyBorder="1" applyAlignment="1">
      <alignment horizontal="center" vertical="center"/>
    </xf>
    <xf numFmtId="173" fontId="41" fillId="0" borderId="136" xfId="0" applyNumberFormat="1" applyFont="1" applyBorder="1" applyAlignment="1">
      <alignment horizontal="center" vertical="center"/>
    </xf>
    <xf numFmtId="0" fontId="41" fillId="0" borderId="19" xfId="0" applyFont="1" applyBorder="1" applyAlignment="1">
      <alignment horizontal="left" vertical="center" wrapText="1"/>
    </xf>
    <xf numFmtId="0" fontId="41" fillId="0" borderId="4" xfId="0" applyFont="1" applyBorder="1" applyAlignment="1">
      <alignment horizontal="left" vertical="center" wrapText="1"/>
    </xf>
    <xf numFmtId="0" fontId="41" fillId="0" borderId="51" xfId="0" applyFont="1" applyBorder="1" applyAlignment="1">
      <alignment horizontal="left" vertical="center" wrapText="1"/>
    </xf>
    <xf numFmtId="6" fontId="41" fillId="0" borderId="4" xfId="0" applyNumberFormat="1" applyFont="1" applyBorder="1" applyAlignment="1">
      <alignment horizontal="center" vertical="center"/>
    </xf>
    <xf numFmtId="6" fontId="41" fillId="0" borderId="51" xfId="0" applyNumberFormat="1" applyFont="1" applyBorder="1" applyAlignment="1">
      <alignment horizontal="center" vertical="center"/>
    </xf>
    <xf numFmtId="173" fontId="41" fillId="0" borderId="49" xfId="0" applyNumberFormat="1" applyFont="1" applyBorder="1" applyAlignment="1">
      <alignment horizontal="center" vertical="center"/>
    </xf>
    <xf numFmtId="173" fontId="41" fillId="0" borderId="28" xfId="0" applyNumberFormat="1" applyFont="1" applyBorder="1" applyAlignment="1">
      <alignment horizontal="center" vertical="center"/>
    </xf>
    <xf numFmtId="173" fontId="41" fillId="0" borderId="137" xfId="0" applyNumberFormat="1" applyFont="1" applyBorder="1" applyAlignment="1">
      <alignment horizontal="center" vertical="center"/>
    </xf>
    <xf numFmtId="0" fontId="15" fillId="4" borderId="148" xfId="0" applyFont="1" applyFill="1" applyBorder="1" applyAlignment="1">
      <alignment horizontal="center" vertical="center"/>
    </xf>
    <xf numFmtId="0" fontId="15" fillId="4" borderId="149" xfId="0" applyFont="1" applyFill="1" applyBorder="1" applyAlignment="1">
      <alignment horizontal="center" vertical="center"/>
    </xf>
    <xf numFmtId="0" fontId="15" fillId="4" borderId="150" xfId="0" applyFont="1" applyFill="1" applyBorder="1" applyAlignment="1">
      <alignment horizontal="center" vertical="center"/>
    </xf>
    <xf numFmtId="0" fontId="7" fillId="0" borderId="114" xfId="0" applyFont="1" applyBorder="1" applyAlignment="1">
      <alignment horizontal="left" vertical="center"/>
    </xf>
    <xf numFmtId="0" fontId="0" fillId="0" borderId="17" xfId="0" applyBorder="1" applyAlignment="1">
      <alignment horizontal="left" vertical="center"/>
    </xf>
    <xf numFmtId="0" fontId="7" fillId="0" borderId="1" xfId="0" applyFont="1" applyBorder="1" applyAlignment="1">
      <alignment horizontal="center" vertical="center"/>
    </xf>
    <xf numFmtId="0" fontId="7" fillId="0" borderId="113" xfId="0" applyFont="1" applyBorder="1" applyAlignment="1">
      <alignment horizontal="center" vertical="center"/>
    </xf>
    <xf numFmtId="0" fontId="7" fillId="0" borderId="115" xfId="0" applyFont="1" applyBorder="1" applyAlignment="1">
      <alignment horizontal="center" vertical="center"/>
    </xf>
    <xf numFmtId="0" fontId="7" fillId="0" borderId="125" xfId="0" applyFont="1" applyBorder="1" applyAlignment="1">
      <alignment horizontal="center" vertical="center"/>
    </xf>
    <xf numFmtId="0" fontId="15" fillId="4" borderId="116" xfId="0" applyFont="1" applyFill="1" applyBorder="1" applyAlignment="1">
      <alignment horizontal="center" vertical="center"/>
    </xf>
    <xf numFmtId="0" fontId="15" fillId="4" borderId="117" xfId="0" applyFont="1" applyFill="1" applyBorder="1" applyAlignment="1">
      <alignment horizontal="center" vertical="center"/>
    </xf>
    <xf numFmtId="0" fontId="15" fillId="4" borderId="118" xfId="0" applyFont="1" applyFill="1" applyBorder="1" applyAlignment="1">
      <alignment horizontal="center" vertical="center"/>
    </xf>
    <xf numFmtId="0" fontId="42" fillId="4" borderId="2" xfId="0" applyFont="1" applyFill="1" applyBorder="1" applyAlignment="1">
      <alignment horizontal="center" vertical="top" wrapText="1"/>
    </xf>
    <xf numFmtId="0" fontId="42" fillId="4" borderId="89" xfId="0" applyFont="1" applyFill="1" applyBorder="1" applyAlignment="1">
      <alignment horizontal="center" vertical="top" wrapText="1"/>
    </xf>
    <xf numFmtId="170" fontId="41" fillId="0" borderId="121" xfId="0" applyNumberFormat="1" applyFont="1" applyBorder="1" applyAlignment="1">
      <alignment horizontal="center" vertical="center"/>
    </xf>
    <xf numFmtId="170" fontId="41" fillId="0" borderId="120" xfId="0" applyNumberFormat="1" applyFont="1" applyBorder="1" applyAlignment="1">
      <alignment horizontal="center" vertical="center"/>
    </xf>
    <xf numFmtId="170" fontId="41" fillId="0" borderId="122" xfId="0" applyNumberFormat="1" applyFont="1" applyBorder="1" applyAlignment="1">
      <alignment horizontal="center" vertical="center"/>
    </xf>
    <xf numFmtId="170" fontId="41" fillId="0" borderId="4" xfId="0" applyNumberFormat="1" applyFont="1" applyBorder="1" applyAlignment="1">
      <alignment horizontal="center" vertical="center"/>
    </xf>
    <xf numFmtId="170" fontId="41" fillId="0" borderId="51" xfId="0" applyNumberFormat="1" applyFont="1" applyBorder="1" applyAlignment="1">
      <alignment horizontal="center" vertical="center"/>
    </xf>
    <xf numFmtId="170" fontId="8" fillId="0" borderId="36" xfId="0" applyNumberFormat="1" applyFont="1" applyBorder="1" applyAlignment="1">
      <alignment horizontal="center" vertical="center"/>
    </xf>
    <xf numFmtId="170" fontId="8" fillId="0" borderId="50" xfId="0" applyNumberFormat="1" applyFont="1" applyBorder="1" applyAlignment="1">
      <alignment horizontal="center" vertical="center"/>
    </xf>
    <xf numFmtId="173" fontId="0" fillId="0" borderId="4" xfId="0" applyNumberFormat="1" applyBorder="1" applyAlignment="1">
      <alignment horizontal="center" vertical="center"/>
    </xf>
    <xf numFmtId="173" fontId="0" fillId="0" borderId="51" xfId="0" applyNumberFormat="1" applyBorder="1" applyAlignment="1">
      <alignment horizontal="center" vertical="center"/>
    </xf>
    <xf numFmtId="173" fontId="41" fillId="0" borderId="60" xfId="0" applyNumberFormat="1" applyFont="1" applyBorder="1" applyAlignment="1">
      <alignment horizontal="center" vertical="center"/>
    </xf>
    <xf numFmtId="173" fontId="0" fillId="0" borderId="61" xfId="0" applyNumberFormat="1" applyBorder="1" applyAlignment="1">
      <alignment horizontal="center" vertical="center"/>
    </xf>
    <xf numFmtId="173" fontId="0" fillId="0" borderId="131" xfId="0" applyNumberFormat="1" applyBorder="1" applyAlignment="1">
      <alignment horizontal="center" vertical="center"/>
    </xf>
    <xf numFmtId="0" fontId="8" fillId="4" borderId="57" xfId="0" applyFont="1" applyFill="1" applyBorder="1" applyAlignment="1">
      <alignment horizontal="center" vertical="top" wrapText="1"/>
    </xf>
    <xf numFmtId="0" fontId="0" fillId="0" borderId="112" xfId="0" applyBorder="1" applyAlignment="1">
      <alignment horizontal="center" vertical="center"/>
    </xf>
    <xf numFmtId="0" fontId="37" fillId="13" borderId="76" xfId="0" applyFont="1" applyFill="1" applyBorder="1" applyAlignment="1">
      <alignment horizontal="center" vertical="center"/>
    </xf>
    <xf numFmtId="0" fontId="37" fillId="13" borderId="77" xfId="0" applyFont="1" applyFill="1" applyBorder="1" applyAlignment="1">
      <alignment horizontal="center" vertical="center"/>
    </xf>
    <xf numFmtId="0" fontId="37" fillId="13" borderId="41" xfId="0" applyFont="1" applyFill="1" applyBorder="1" applyAlignment="1">
      <alignment horizontal="center" vertical="center"/>
    </xf>
    <xf numFmtId="0" fontId="37" fillId="13" borderId="36" xfId="0" applyFont="1" applyFill="1" applyBorder="1" applyAlignment="1">
      <alignment horizontal="right" vertical="center"/>
    </xf>
    <xf numFmtId="0" fontId="37" fillId="13" borderId="8" xfId="0" applyFont="1" applyFill="1" applyBorder="1" applyAlignment="1">
      <alignment horizontal="right" vertical="center"/>
    </xf>
    <xf numFmtId="0" fontId="37" fillId="11" borderId="36" xfId="0" applyFont="1" applyFill="1" applyBorder="1" applyAlignment="1">
      <alignment horizontal="right" vertical="center"/>
    </xf>
    <xf numFmtId="0" fontId="37" fillId="11" borderId="8" xfId="0" applyFont="1" applyFill="1" applyBorder="1" applyAlignment="1">
      <alignment horizontal="right" vertical="center"/>
    </xf>
    <xf numFmtId="0" fontId="36" fillId="12" borderId="11" xfId="0" applyFont="1" applyFill="1" applyBorder="1" applyAlignment="1">
      <alignment horizontal="center" vertical="center"/>
    </xf>
    <xf numFmtId="0" fontId="36" fillId="12" borderId="13" xfId="0" applyFont="1" applyFill="1" applyBorder="1" applyAlignment="1">
      <alignment horizontal="center" vertical="center"/>
    </xf>
    <xf numFmtId="0" fontId="36" fillId="12" borderId="34" xfId="0" applyFont="1" applyFill="1" applyBorder="1" applyAlignment="1">
      <alignment horizontal="center" vertical="center"/>
    </xf>
    <xf numFmtId="0" fontId="36" fillId="13" borderId="13" xfId="0" applyFont="1" applyFill="1" applyBorder="1" applyAlignment="1">
      <alignment horizontal="center" vertical="center"/>
    </xf>
    <xf numFmtId="0" fontId="36" fillId="13" borderId="34" xfId="0" applyFont="1" applyFill="1" applyBorder="1" applyAlignment="1">
      <alignment horizontal="center" vertical="center"/>
    </xf>
    <xf numFmtId="0" fontId="36" fillId="11" borderId="11" xfId="0" applyFont="1" applyFill="1" applyBorder="1" applyAlignment="1">
      <alignment horizontal="center" vertical="center"/>
    </xf>
    <xf numFmtId="0" fontId="36" fillId="11" borderId="13" xfId="0" applyFont="1" applyFill="1" applyBorder="1" applyAlignment="1">
      <alignment horizontal="center" vertical="center"/>
    </xf>
    <xf numFmtId="0" fontId="36" fillId="11" borderId="34" xfId="0" applyFont="1" applyFill="1" applyBorder="1" applyAlignment="1">
      <alignment horizontal="center" vertical="center"/>
    </xf>
    <xf numFmtId="0" fontId="37" fillId="12" borderId="36" xfId="0" applyFont="1" applyFill="1" applyBorder="1" applyAlignment="1">
      <alignment horizontal="right" vertical="center"/>
    </xf>
    <xf numFmtId="0" fontId="37" fillId="12" borderId="8" xfId="0" applyFont="1" applyFill="1" applyBorder="1" applyAlignment="1">
      <alignment horizontal="right" vertical="center"/>
    </xf>
    <xf numFmtId="0" fontId="6" fillId="4" borderId="3" xfId="0" quotePrefix="1" applyFont="1" applyFill="1" applyBorder="1" applyAlignment="1">
      <alignment vertical="center"/>
    </xf>
    <xf numFmtId="0" fontId="6" fillId="4" borderId="4" xfId="0" applyFont="1" applyFill="1" applyBorder="1" applyAlignment="1">
      <alignment vertical="center"/>
    </xf>
    <xf numFmtId="0" fontId="6" fillId="4" borderId="17" xfId="0" applyFont="1" applyFill="1" applyBorder="1" applyAlignment="1">
      <alignment vertical="center"/>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14" fillId="7" borderId="2" xfId="0" applyFont="1" applyFill="1" applyBorder="1" applyAlignment="1">
      <alignment horizontal="center" vertical="center"/>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1" xfId="0" applyFont="1" applyFill="1" applyBorder="1" applyAlignment="1">
      <alignment horizontal="center" vertical="center" wrapText="1"/>
    </xf>
    <xf numFmtId="49" fontId="8" fillId="0" borderId="3" xfId="0" applyNumberFormat="1" applyFont="1" applyBorder="1" applyAlignment="1" applyProtection="1">
      <alignment horizontal="center" vertical="center"/>
      <protection locked="0"/>
    </xf>
    <xf numFmtId="49" fontId="8" fillId="0" borderId="17" xfId="0" applyNumberFormat="1" applyFont="1" applyBorder="1" applyAlignment="1" applyProtection="1">
      <alignment horizontal="center" vertical="center"/>
      <protection locked="0"/>
    </xf>
    <xf numFmtId="0" fontId="8" fillId="4" borderId="19"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1" xfId="0" applyFont="1" applyFill="1" applyBorder="1" applyAlignment="1">
      <alignment horizontal="center" vertical="center"/>
    </xf>
    <xf numFmtId="0" fontId="10" fillId="7" borderId="21" xfId="0" applyFont="1" applyFill="1" applyBorder="1" applyAlignment="1">
      <alignment horizontal="center" vertical="center" wrapText="1"/>
    </xf>
    <xf numFmtId="0" fontId="10" fillId="7" borderId="43" xfId="0" applyFont="1" applyFill="1" applyBorder="1" applyAlignment="1">
      <alignment horizontal="center" vertical="center" wrapText="1"/>
    </xf>
    <xf numFmtId="0" fontId="8" fillId="4" borderId="3" xfId="0" applyFont="1" applyFill="1" applyBorder="1" applyAlignment="1">
      <alignment horizontal="center" wrapText="1"/>
    </xf>
    <xf numFmtId="0" fontId="8" fillId="4" borderId="17" xfId="0" applyFont="1" applyFill="1" applyBorder="1" applyAlignment="1">
      <alignment horizontal="center" wrapText="1"/>
    </xf>
    <xf numFmtId="0" fontId="8" fillId="4" borderId="2" xfId="0" applyFont="1" applyFill="1" applyBorder="1" applyAlignment="1">
      <alignment horizontal="center" wrapText="1"/>
    </xf>
    <xf numFmtId="0" fontId="0" fillId="6" borderId="2" xfId="0" applyFill="1" applyBorder="1" applyAlignment="1">
      <alignment horizontal="center"/>
    </xf>
    <xf numFmtId="0" fontId="7" fillId="0" borderId="3" xfId="0" applyFont="1" applyBorder="1" applyAlignment="1">
      <alignment vertical="center" wrapText="1"/>
    </xf>
    <xf numFmtId="0" fontId="7" fillId="0" borderId="4" xfId="0" applyFont="1" applyBorder="1" applyAlignment="1">
      <alignment vertical="center" wrapText="1"/>
    </xf>
    <xf numFmtId="0" fontId="7" fillId="0" borderId="17" xfId="0" applyFont="1" applyBorder="1" applyAlignment="1">
      <alignment vertical="center" wrapText="1"/>
    </xf>
    <xf numFmtId="0" fontId="17" fillId="0" borderId="3" xfId="12" applyBorder="1" applyAlignment="1">
      <alignment horizontal="left" vertical="center"/>
    </xf>
    <xf numFmtId="0" fontId="17" fillId="0" borderId="4" xfId="12" applyBorder="1" applyAlignment="1">
      <alignment horizontal="left" vertical="center"/>
    </xf>
    <xf numFmtId="0" fontId="10" fillId="4" borderId="14" xfId="0" applyFont="1" applyFill="1" applyBorder="1" applyAlignment="1">
      <alignment horizontal="center" vertical="center"/>
    </xf>
    <xf numFmtId="0" fontId="31" fillId="4" borderId="21" xfId="0" quotePrefix="1" applyFont="1" applyFill="1" applyBorder="1" applyAlignment="1">
      <alignment horizontal="center" vertical="center" wrapText="1"/>
    </xf>
    <xf numFmtId="0" fontId="31" fillId="4" borderId="5" xfId="0" quotePrefix="1" applyFont="1" applyFill="1" applyBorder="1" applyAlignment="1">
      <alignment horizontal="center" vertical="center" wrapText="1"/>
    </xf>
    <xf numFmtId="0" fontId="8" fillId="6" borderId="2" xfId="0" applyFont="1" applyFill="1" applyBorder="1" applyAlignment="1">
      <alignment horizontal="left"/>
    </xf>
    <xf numFmtId="0" fontId="8" fillId="6" borderId="2" xfId="0" applyFont="1" applyFill="1" applyBorder="1" applyAlignment="1">
      <alignment horizontal="center" wrapText="1"/>
    </xf>
    <xf numFmtId="0" fontId="7" fillId="4" borderId="49" xfId="0" applyFont="1" applyFill="1" applyBorder="1" applyAlignment="1">
      <alignment horizontal="center" vertical="center"/>
    </xf>
    <xf numFmtId="0" fontId="7" fillId="4" borderId="28" xfId="0" applyFont="1" applyFill="1" applyBorder="1" applyAlignment="1">
      <alignment horizontal="center" vertical="center"/>
    </xf>
    <xf numFmtId="0" fontId="7" fillId="4" borderId="29" xfId="0" applyFont="1" applyFill="1" applyBorder="1" applyAlignment="1">
      <alignment horizontal="center" vertical="center"/>
    </xf>
    <xf numFmtId="0" fontId="7" fillId="0" borderId="0" xfId="0" applyFont="1" applyAlignment="1">
      <alignment horizontal="center"/>
    </xf>
    <xf numFmtId="0" fontId="36" fillId="13" borderId="11" xfId="0" applyFont="1" applyFill="1" applyBorder="1" applyAlignment="1">
      <alignment horizontal="center" vertical="center"/>
    </xf>
    <xf numFmtId="0" fontId="6" fillId="4" borderId="11" xfId="0" applyFont="1" applyFill="1" applyBorder="1" applyAlignment="1">
      <alignment horizontal="left" vertical="center"/>
    </xf>
    <xf numFmtId="0" fontId="6" fillId="4" borderId="13" xfId="0" applyFont="1" applyFill="1" applyBorder="1" applyAlignment="1">
      <alignment horizontal="left" vertical="center"/>
    </xf>
    <xf numFmtId="0" fontId="6" fillId="4" borderId="34" xfId="0" applyFont="1" applyFill="1" applyBorder="1" applyAlignment="1">
      <alignment horizontal="left" vertical="center"/>
    </xf>
    <xf numFmtId="0" fontId="24" fillId="8" borderId="0" xfId="0" applyFont="1" applyFill="1" applyAlignment="1">
      <alignment horizontal="left" vertical="center"/>
    </xf>
    <xf numFmtId="0" fontId="25" fillId="0" borderId="0" xfId="11" applyFont="1" applyAlignment="1">
      <alignment horizontal="center"/>
    </xf>
    <xf numFmtId="0" fontId="24" fillId="8" borderId="0" xfId="11" applyFont="1" applyFill="1" applyAlignment="1">
      <alignment horizontal="left" vertical="center"/>
    </xf>
    <xf numFmtId="0" fontId="28" fillId="0" borderId="0" xfId="11" applyFont="1" applyAlignment="1">
      <alignment horizontal="center"/>
    </xf>
    <xf numFmtId="0" fontId="43" fillId="17" borderId="0" xfId="0" quotePrefix="1" applyFont="1" applyFill="1" applyAlignment="1">
      <alignment horizontal="center" vertical="center"/>
    </xf>
    <xf numFmtId="0" fontId="0" fillId="0" borderId="0" xfId="0" applyAlignment="1">
      <alignment horizontal="center" vertical="center"/>
    </xf>
    <xf numFmtId="0" fontId="43" fillId="17" borderId="35" xfId="0" quotePrefix="1" applyFont="1" applyFill="1" applyBorder="1" applyAlignment="1">
      <alignment horizontal="center" vertical="center"/>
    </xf>
    <xf numFmtId="0" fontId="41" fillId="0" borderId="0" xfId="0" applyFont="1" applyAlignment="1">
      <alignment horizontal="right"/>
    </xf>
    <xf numFmtId="0" fontId="0" fillId="0" borderId="0" xfId="0"/>
    <xf numFmtId="0" fontId="41" fillId="0" borderId="0" xfId="0" applyFont="1"/>
    <xf numFmtId="0" fontId="43" fillId="17" borderId="76" xfId="0" quotePrefix="1" applyFont="1" applyFill="1" applyBorder="1" applyAlignment="1">
      <alignment horizontal="center" vertical="center"/>
    </xf>
    <xf numFmtId="0" fontId="0" fillId="0" borderId="77" xfId="0" applyBorder="1" applyAlignment="1">
      <alignment horizontal="center" vertical="center"/>
    </xf>
    <xf numFmtId="0" fontId="0" fillId="0" borderId="38" xfId="0" applyBorder="1" applyAlignment="1">
      <alignment horizontal="center" vertical="center"/>
    </xf>
    <xf numFmtId="0" fontId="0" fillId="0" borderId="77" xfId="0" applyBorder="1"/>
    <xf numFmtId="14" fontId="7" fillId="0" borderId="0" xfId="0" applyNumberFormat="1" applyFont="1"/>
    <xf numFmtId="0" fontId="7" fillId="0" borderId="0" xfId="0" applyFont="1"/>
    <xf numFmtId="0" fontId="42" fillId="0" borderId="0" xfId="0" applyFont="1"/>
    <xf numFmtId="0" fontId="9" fillId="17" borderId="36" xfId="9" quotePrefix="1" applyFill="1" applyBorder="1" applyAlignment="1" applyProtection="1">
      <alignment horizontal="center" vertical="top"/>
    </xf>
    <xf numFmtId="0" fontId="43" fillId="17" borderId="8" xfId="0" quotePrefix="1" applyFont="1" applyFill="1" applyBorder="1" applyAlignment="1">
      <alignment horizontal="center" vertical="top"/>
    </xf>
    <xf numFmtId="0" fontId="9" fillId="17" borderId="8" xfId="9" quotePrefix="1" applyFill="1" applyBorder="1" applyAlignment="1" applyProtection="1">
      <alignment horizontal="center" vertical="top"/>
    </xf>
    <xf numFmtId="0" fontId="8" fillId="0" borderId="0" xfId="0" applyFont="1" applyAlignment="1">
      <alignment horizontal="center"/>
    </xf>
    <xf numFmtId="0" fontId="0" fillId="0" borderId="0" xfId="0" applyAlignment="1">
      <alignment horizontal="center"/>
    </xf>
  </cellXfs>
  <cellStyles count="14">
    <cellStyle name="Comma" xfId="1" builtinId="3"/>
    <cellStyle name="Comma 2" xfId="2" xr:uid="{00000000-0005-0000-0000-000001000000}"/>
    <cellStyle name="Comma 3" xfId="3" xr:uid="{00000000-0005-0000-0000-000002000000}"/>
    <cellStyle name="Currency" xfId="4" builtinId="4"/>
    <cellStyle name="Currency 2" xfId="5" xr:uid="{00000000-0005-0000-0000-000004000000}"/>
    <cellStyle name="Currency 3" xfId="6" xr:uid="{00000000-0005-0000-0000-000005000000}"/>
    <cellStyle name="Data Field" xfId="7" xr:uid="{00000000-0005-0000-0000-000006000000}"/>
    <cellStyle name="Data Name" xfId="8" xr:uid="{00000000-0005-0000-0000-000007000000}"/>
    <cellStyle name="Hyperlink" xfId="9" builtinId="8"/>
    <cellStyle name="Hyperlink 2" xfId="10" xr:uid="{00000000-0005-0000-0000-000009000000}"/>
    <cellStyle name="Normal" xfId="0" builtinId="0"/>
    <cellStyle name="Normal 2" xfId="11" xr:uid="{00000000-0005-0000-0000-00000B000000}"/>
    <cellStyle name="Normal 3" xfId="12" xr:uid="{00000000-0005-0000-0000-00000C000000}"/>
    <cellStyle name="Percent 2" xfId="13" xr:uid="{00000000-0005-0000-0000-00000D000000}"/>
  </cellStyles>
  <dxfs count="11">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a:t>Energy Savings as a Percentage of Existing Consumption</a:t>
            </a:r>
          </a:p>
        </c:rich>
      </c:tx>
      <c:layout>
        <c:manualLayout>
          <c:xMode val="edge"/>
          <c:yMode val="edge"/>
          <c:x val="0.16292139798314684"/>
          <c:y val="1.9157296695937697E-2"/>
        </c:manualLayout>
      </c:layout>
      <c:overlay val="0"/>
      <c:spPr>
        <a:noFill/>
        <a:ln w="25400">
          <a:noFill/>
        </a:ln>
      </c:spPr>
    </c:title>
    <c:autoTitleDeleted val="0"/>
    <c:plotArea>
      <c:layout>
        <c:manualLayout>
          <c:layoutTarget val="inner"/>
          <c:xMode val="edge"/>
          <c:yMode val="edge"/>
          <c:x val="0.32022471910112382"/>
          <c:y val="0.34866030838537332"/>
          <c:w val="0.38483146067415902"/>
          <c:h val="0.52490617855819965"/>
        </c:manualLayout>
      </c:layout>
      <c:pie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9A6E-4CD8-8F87-48B4142522D4}"/>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9A6E-4CD8-8F87-48B4142522D4}"/>
              </c:ext>
            </c:extLst>
          </c:dPt>
          <c:dLbls>
            <c:dLbl>
              <c:idx val="1"/>
              <c:spPr>
                <a:noFill/>
                <a:ln w="25400">
                  <a:noFill/>
                </a:ln>
              </c:spPr>
              <c:txPr>
                <a:bodyPr/>
                <a:lstStyle/>
                <a:p>
                  <a:pPr>
                    <a:defRPr sz="1575" b="0" i="0" u="none" strike="noStrike" baseline="0">
                      <a:solidFill>
                        <a:srgbClr val="000000"/>
                      </a:solidFill>
                      <a:latin typeface="Arial"/>
                      <a:ea typeface="Arial"/>
                      <a:cs typeface="Arial"/>
                    </a:defRPr>
                  </a:pPr>
                  <a:endParaRPr lang="en-US"/>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A6E-4CD8-8F87-48B4142522D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extLst>
          </c:dLbls>
          <c:val>
            <c:numRef>
              <c:f>'Financial Summary'!$E$9:$F$9</c:f>
              <c:numCache>
                <c:formatCode>#,##0.00_);\(#,##0.00\)</c:formatCode>
                <c:ptCount val="2"/>
                <c:pt idx="0">
                  <c:v>0</c:v>
                </c:pt>
                <c:pt idx="1">
                  <c:v>0</c:v>
                </c:pt>
              </c:numCache>
            </c:numRef>
          </c:val>
          <c:extLst>
            <c:ext xmlns:c16="http://schemas.microsoft.com/office/drawing/2014/chart" uri="{C3380CC4-5D6E-409C-BE32-E72D297353CC}">
              <c16:uniqueId val="{00000003-9A6E-4CD8-8F87-48B4142522D4}"/>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333" r="0.75000000000000333"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Arial"/>
                <a:ea typeface="Arial"/>
                <a:cs typeface="Arial"/>
              </a:defRPr>
            </a:pPr>
            <a:r>
              <a:rPr lang="en-US"/>
              <a:t>Cummulative Savings at Current Energy Prices*</a:t>
            </a:r>
          </a:p>
        </c:rich>
      </c:tx>
      <c:layout>
        <c:manualLayout>
          <c:xMode val="edge"/>
          <c:yMode val="edge"/>
          <c:x val="0.13802815298494192"/>
          <c:y val="3.0769397626949524E-2"/>
        </c:manualLayout>
      </c:layout>
      <c:overlay val="0"/>
      <c:spPr>
        <a:noFill/>
        <a:ln w="25400">
          <a:noFill/>
        </a:ln>
      </c:spPr>
    </c:title>
    <c:autoTitleDeleted val="0"/>
    <c:plotArea>
      <c:layout>
        <c:manualLayout>
          <c:layoutTarget val="inner"/>
          <c:xMode val="edge"/>
          <c:yMode val="edge"/>
          <c:x val="0.15211288527850639"/>
          <c:y val="0.17307692307692321"/>
          <c:w val="0.80845181620243511"/>
          <c:h val="0.68076923076923079"/>
        </c:manualLayout>
      </c:layout>
      <c:barChart>
        <c:barDir val="col"/>
        <c:grouping val="clustered"/>
        <c:varyColors val="0"/>
        <c:ser>
          <c:idx val="0"/>
          <c:order val="0"/>
          <c:tx>
            <c:v>Cummulative Savings at Current Energy Prices</c:v>
          </c:tx>
          <c:spPr>
            <a:solidFill>
              <a:srgbClr val="9999FF"/>
            </a:solidFill>
            <a:ln w="12700">
              <a:solidFill>
                <a:srgbClr val="000000"/>
              </a:solidFill>
              <a:prstDash val="solid"/>
            </a:ln>
          </c:spPr>
          <c:invertIfNegative val="0"/>
          <c:val>
            <c:numRef>
              <c:f>'Financial Summary'!$D$12:$D$16</c:f>
              <c:numCache>
                <c:formatCode>"$"#,##0_);\("$"#,##0\)</c:formatCode>
                <c:ptCount val="5"/>
                <c:pt idx="0">
                  <c:v>0</c:v>
                </c:pt>
                <c:pt idx="1">
                  <c:v>0</c:v>
                </c:pt>
                <c:pt idx="2">
                  <c:v>0</c:v>
                </c:pt>
                <c:pt idx="3">
                  <c:v>0</c:v>
                </c:pt>
                <c:pt idx="4">
                  <c:v>0</c:v>
                </c:pt>
              </c:numCache>
            </c:numRef>
          </c:val>
          <c:extLst>
            <c:ext xmlns:c16="http://schemas.microsoft.com/office/drawing/2014/chart" uri="{C3380CC4-5D6E-409C-BE32-E72D297353CC}">
              <c16:uniqueId val="{00000000-5C02-4671-8507-C09D8194D94A}"/>
            </c:ext>
          </c:extLst>
        </c:ser>
        <c:dLbls>
          <c:showLegendKey val="0"/>
          <c:showVal val="0"/>
          <c:showCatName val="0"/>
          <c:showSerName val="0"/>
          <c:showPercent val="0"/>
          <c:showBubbleSize val="0"/>
        </c:dLbls>
        <c:gapWidth val="30"/>
        <c:axId val="173790336"/>
        <c:axId val="173792256"/>
      </c:barChart>
      <c:catAx>
        <c:axId val="173790336"/>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Year</a:t>
                </a:r>
              </a:p>
            </c:rich>
          </c:tx>
          <c:layout>
            <c:manualLayout>
              <c:xMode val="edge"/>
              <c:yMode val="edge"/>
              <c:x val="0.46774897040308988"/>
              <c:y val="0.9141025140452485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73792256"/>
        <c:crosses val="autoZero"/>
        <c:auto val="1"/>
        <c:lblAlgn val="ctr"/>
        <c:lblOffset val="100"/>
        <c:tickLblSkip val="1"/>
        <c:tickMarkSkip val="1"/>
        <c:noMultiLvlLbl val="0"/>
      </c:catAx>
      <c:valAx>
        <c:axId val="173792256"/>
        <c:scaling>
          <c:orientation val="minMax"/>
        </c:scaling>
        <c:delete val="0"/>
        <c:axPos val="l"/>
        <c:majorGridlines>
          <c:spPr>
            <a:ln w="3175">
              <a:solidFill>
                <a:srgbClr val="000000"/>
              </a:solidFill>
              <a:prstDash val="solid"/>
            </a:ln>
          </c:spPr>
        </c:majorGridlines>
        <c:numFmt formatCode="&quot;$&quot;#,##0_);\(&quot;$&quot;#,##0\)"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73790336"/>
        <c:crosses val="autoZero"/>
        <c:crossBetween val="between"/>
      </c:valAx>
      <c:spPr>
        <a:solidFill>
          <a:srgbClr val="FFFFFF"/>
        </a:solidFill>
        <a:ln w="12700">
          <a:solidFill>
            <a:srgbClr val="000000"/>
          </a:solidFill>
          <a:prstDash val="solid"/>
        </a:ln>
      </c:spPr>
    </c:plotArea>
    <c:plotVisOnly val="0"/>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333" r="0.75000000000000333" t="1" header="0.5" footer="0.5"/>
    <c:pageSetup orientation="landscape"/>
  </c:printSettings>
</c:chartSpace>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firstButton="1" fmlaLink="$B$5" lockText="1"/>
</file>

<file path=xl/ctrlProps/ctrlProp32.xml><?xml version="1.0" encoding="utf-8"?>
<formControlPr xmlns="http://schemas.microsoft.com/office/spreadsheetml/2009/9/main" objectType="Radio" checked="Checked" lockText="1"/>
</file>

<file path=xl/ctrlProps/ctrlProp33.xml><?xml version="1.0" encoding="utf-8"?>
<formControlPr xmlns="http://schemas.microsoft.com/office/spreadsheetml/2009/9/main" objectType="Radio" lockText="1"/>
</file>

<file path=xl/ctrlProps/ctrlProp34.xml><?xml version="1.0" encoding="utf-8"?>
<formControlPr xmlns="http://schemas.microsoft.com/office/spreadsheetml/2009/9/main" objectType="Radio" lockText="1"/>
</file>

<file path=xl/ctrlProps/ctrlProp35.xml><?xml version="1.0" encoding="utf-8"?>
<formControlPr xmlns="http://schemas.microsoft.com/office/spreadsheetml/2009/9/main" objectType="Radio" firstButton="1" fmlaLink="$B$5" lockText="1"/>
</file>

<file path=xl/ctrlProps/ctrlProp36.xml><?xml version="1.0" encoding="utf-8"?>
<formControlPr xmlns="http://schemas.microsoft.com/office/spreadsheetml/2009/9/main" objectType="Radio" checked="Checked" lockText="1"/>
</file>

<file path=xl/ctrlProps/ctrlProp37.xml><?xml version="1.0" encoding="utf-8"?>
<formControlPr xmlns="http://schemas.microsoft.com/office/spreadsheetml/2009/9/main" objectType="Radio" lockText="1"/>
</file>

<file path=xl/ctrlProps/ctrlProp38.xml><?xml version="1.0" encoding="utf-8"?>
<formControlPr xmlns="http://schemas.microsoft.com/office/spreadsheetml/2009/9/main" objectType="Radio" lockText="1"/>
</file>

<file path=xl/ctrlProps/ctrlProp39.xml><?xml version="1.0" encoding="utf-8"?>
<formControlPr xmlns="http://schemas.microsoft.com/office/spreadsheetml/2009/9/main" objectType="Radio" firstButton="1" fmlaLink="$B$4" lockText="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checked="Checked" lockText="1"/>
</file>

<file path=xl/ctrlProps/ctrlProp41.xml><?xml version="1.0" encoding="utf-8"?>
<formControlPr xmlns="http://schemas.microsoft.com/office/spreadsheetml/2009/9/main" objectType="Radio" lockText="1"/>
</file>

<file path=xl/ctrlProps/ctrlProp42.xml><?xml version="1.0" encoding="utf-8"?>
<formControlPr xmlns="http://schemas.microsoft.com/office/spreadsheetml/2009/9/main" objectType="Radio" lockText="1"/>
</file>

<file path=xl/ctrlProps/ctrlProp43.xml><?xml version="1.0" encoding="utf-8"?>
<formControlPr xmlns="http://schemas.microsoft.com/office/spreadsheetml/2009/9/main" objectType="Radio" firstButton="1" fmlaLink="$B$4" lockText="1"/>
</file>

<file path=xl/ctrlProps/ctrlProp44.xml><?xml version="1.0" encoding="utf-8"?>
<formControlPr xmlns="http://schemas.microsoft.com/office/spreadsheetml/2009/9/main" objectType="Radio" lockText="1"/>
</file>

<file path=xl/ctrlProps/ctrlProp45.xml><?xml version="1.0" encoding="utf-8"?>
<formControlPr xmlns="http://schemas.microsoft.com/office/spreadsheetml/2009/9/main" objectType="Radio" lockText="1"/>
</file>

<file path=xl/ctrlProps/ctrlProp46.xml><?xml version="1.0" encoding="utf-8"?>
<formControlPr xmlns="http://schemas.microsoft.com/office/spreadsheetml/2009/9/main" objectType="Radio" lockText="1"/>
</file>

<file path=xl/ctrlProps/ctrlProp47.xml><?xml version="1.0" encoding="utf-8"?>
<formControlPr xmlns="http://schemas.microsoft.com/office/spreadsheetml/2009/9/main" objectType="Radio" firstButton="1" fmlaLink="$B$4" lockText="1"/>
</file>

<file path=xl/ctrlProps/ctrlProp48.xml><?xml version="1.0" encoding="utf-8"?>
<formControlPr xmlns="http://schemas.microsoft.com/office/spreadsheetml/2009/9/main" objectType="Radio" checked="Checked" lockText="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171450</xdr:colOff>
      <xdr:row>0</xdr:row>
      <xdr:rowOff>171450</xdr:rowOff>
    </xdr:from>
    <xdr:to>
      <xdr:col>13</xdr:col>
      <xdr:colOff>180975</xdr:colOff>
      <xdr:row>73</xdr:row>
      <xdr:rowOff>28575</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171450" y="171450"/>
          <a:ext cx="7934325" cy="13763625"/>
        </a:xfrm>
        <a:prstGeom prst="rect">
          <a:avLst/>
        </a:prstGeom>
        <a:solidFill>
          <a:srgbClr val="FFFFFF"/>
        </a:solidFill>
        <a:ln w="9525" algn="ctr">
          <a:solidFill>
            <a:srgbClr val="000000"/>
          </a:solidFill>
          <a:miter lim="800000"/>
          <a:headEnd/>
          <a:tailEnd/>
        </a:ln>
        <a:effectLst>
          <a:outerShdw dist="35921" dir="2700000" algn="ctr" rotWithShape="0">
            <a:srgbClr val="808080"/>
          </a:outerShdw>
        </a:effectLst>
      </xdr:spPr>
      <xdr:txBody>
        <a:bodyPr vertOverflow="clip" wrap="square" lIns="91440" tIns="45720" rIns="91440" bIns="45720" anchor="t" upright="1"/>
        <a:lstStyle/>
        <a:p>
          <a:pPr algn="l" rtl="0">
            <a:defRPr sz="1000"/>
          </a:pPr>
          <a:r>
            <a:rPr lang="en-US" sz="1100" b="0" i="0" u="none" strike="noStrike" baseline="0">
              <a:solidFill>
                <a:srgbClr val="000000"/>
              </a:solidFill>
              <a:latin typeface="Calibri"/>
              <a:cs typeface="Calibri"/>
            </a:rPr>
            <a:t>INSTRUCTIONS FOR THE INTERACTIVE COMMERCIAL COOLING REBATE APPLICATION</a:t>
          </a:r>
        </a:p>
        <a:p>
          <a:pPr algn="l" rtl="0">
            <a:defRPr sz="1000"/>
          </a:pPr>
          <a:endParaRPr lang="en-US" sz="1100" b="0" i="0" u="none" strike="noStrike" baseline="0">
            <a:solidFill>
              <a:srgbClr val="000000"/>
            </a:solidFill>
            <a:latin typeface="Calibri"/>
            <a:cs typeface="Calibri"/>
          </a:endParaRPr>
        </a:p>
        <a:p>
          <a:pPr algn="l" rtl="0">
            <a:defRPr sz="1000"/>
          </a:pPr>
          <a:r>
            <a:rPr lang="en-US" sz="1100" b="0" i="0" u="sng" strike="noStrike" baseline="0">
              <a:solidFill>
                <a:srgbClr val="000000"/>
              </a:solidFill>
              <a:latin typeface="Calibri"/>
              <a:cs typeface="Calibri"/>
            </a:rPr>
            <a:t>Customer Information Sheet</a:t>
          </a: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This sheet asks for general information about the customer and contractor.  Fields that accept data are shaded yellow.  The tab key can be used to move forward from one field to the next.  Holding the shift key will pressing the tab key will move backward from one field to the previous field.</a:t>
          </a:r>
        </a:p>
        <a:p>
          <a:pPr algn="l" rtl="0">
            <a:defRPr sz="1000"/>
          </a:pP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The customer’s business name and installation address are pulled from this sheet and displayed on the Financial Summary sheet.  The contractor name, address, and contact information are also pulled from this sheet and displayed on the Financial Summary sheet.</a:t>
          </a:r>
        </a:p>
        <a:p>
          <a:pPr algn="l" rtl="0">
            <a:defRPr sz="1000"/>
          </a:pP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Check-boxes can be selected or deselected using the mouse.</a:t>
          </a:r>
        </a:p>
        <a:p>
          <a:pPr algn="l" rtl="0">
            <a:defRPr sz="1000"/>
          </a:pPr>
          <a:endParaRPr lang="en-US" sz="1100" b="0" i="0" u="none" strike="noStrike" baseline="0">
            <a:solidFill>
              <a:srgbClr val="000000"/>
            </a:solidFill>
            <a:latin typeface="Calibri"/>
            <a:cs typeface="Calibri"/>
          </a:endParaRPr>
        </a:p>
        <a:p>
          <a:pPr algn="l" rtl="0">
            <a:defRPr sz="1000"/>
          </a:pPr>
          <a:r>
            <a:rPr lang="en-US" sz="1100" b="0" i="0" u="sng" strike="noStrike" baseline="0">
              <a:solidFill>
                <a:srgbClr val="000000"/>
              </a:solidFill>
              <a:latin typeface="Calibri"/>
              <a:cs typeface="Calibri"/>
            </a:rPr>
            <a:t>Rebate Information (Rooftops) Sheet</a:t>
          </a: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Use the mouse to select “New Construction” or “Retrofit” at the top of the sheet.</a:t>
          </a:r>
        </a:p>
        <a:p>
          <a:pPr algn="l" rtl="0">
            <a:defRPr sz="1000"/>
          </a:pP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Fields that accept data entry are shaded yellow.  Fields that are calculated based on other values entered are not shaded.</a:t>
          </a:r>
        </a:p>
        <a:p>
          <a:pPr algn="l" rtl="0">
            <a:defRPr sz="1000"/>
          </a:pP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Begin by entering the base line  information  in columns A, B and C.</a:t>
          </a:r>
        </a:p>
        <a:p>
          <a:pPr algn="l" rtl="0">
            <a:defRPr sz="1000"/>
          </a:pP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In column D, select the correct unit code from Table 1.  Once the code is in the cell, the Minimum Efficiency (Column I), Base Rebate $/Ton (Column N) and Bonus Rebate**$/Ton  (Column Q) columns will automatically be entered into the appropriate cells.</a:t>
          </a:r>
        </a:p>
        <a:p>
          <a:pPr algn="l" rtl="0">
            <a:defRPr sz="1000"/>
          </a:pP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The Eligible Efficiency Bonus column will automatically be filled out once the Actual SEER or EER (Column J) is entered.  The Base Rebate (Column O), Bonus Rebate (Column R) and the Total Rebate (Column S) will not appear until the Qty. of the new system has been entered into Column K.  If the equipment cost is less than the rebate, the Total Rebate Amount will default to the cost of the equipment.</a:t>
          </a:r>
        </a:p>
        <a:p>
          <a:pPr algn="l" rtl="0">
            <a:defRPr sz="1000"/>
          </a:pPr>
          <a:endParaRPr lang="en-US" sz="1100" b="0" i="0" u="none" strike="noStrike" baseline="0">
            <a:solidFill>
              <a:srgbClr val="000000"/>
            </a:solidFill>
            <a:latin typeface="Calibri"/>
            <a:cs typeface="Calibri"/>
          </a:endParaRPr>
        </a:p>
        <a:p>
          <a:pPr algn="l" rtl="0">
            <a:defRPr sz="1000"/>
          </a:pPr>
          <a:r>
            <a:rPr lang="en-US" sz="1100" b="0" i="0" u="sng" strike="noStrike" baseline="0">
              <a:solidFill>
                <a:srgbClr val="000000"/>
              </a:solidFill>
              <a:latin typeface="Calibri"/>
              <a:cs typeface="Calibri"/>
            </a:rPr>
            <a:t>Rebate Information (Chillers-W) Sheet</a:t>
          </a: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Use the mouse to select “New Construction” or “Retrofit” at the top of the sheet.</a:t>
          </a:r>
        </a:p>
        <a:p>
          <a:pPr algn="l" rtl="0">
            <a:defRPr sz="1000"/>
          </a:pP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Fields that accept data entry are shaded yellow.  Fields that are calculated based on other values entered are not shaded.</a:t>
          </a:r>
        </a:p>
        <a:p>
          <a:pPr algn="l" rtl="0">
            <a:defRPr sz="1000"/>
          </a:pP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Begin by entering the baseline information in columns  B, C and D.</a:t>
          </a:r>
        </a:p>
        <a:p>
          <a:pPr algn="l" rtl="0">
            <a:defRPr sz="1000"/>
          </a:pP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In column E, select the correct Unit Code from Table 1.  Once the code is in the cell, the Path (A or B), the Existing System Unit Code (Column A), Minimum Full Load Eff. (Column I), IPLV Eff. (Column K), Base Rebate $/Ton (Column P), and IPLV Bonus Rebate*$/Ton (Column R) columns will automatically be entered into the appropriate cells.</a:t>
          </a:r>
        </a:p>
        <a:p>
          <a:pPr algn="l" rtl="0">
            <a:defRPr sz="1000"/>
          </a:pP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Once Rated Full Load Eff. (Columns J) , Rated IPLV Eff. (Column L) and Qty (Column M) columns have been filled out, the  Base Rebate (Column Q) and Total Eff Bomus (Column S) will automatically be entered.  </a:t>
          </a:r>
        </a:p>
        <a:p>
          <a:pPr algn="l" rtl="0">
            <a:defRPr sz="1000"/>
          </a:pP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Lastly, once the Equipment Cost (Column O) of the New System has been entered, the Total Rebate (Column T), will automatically be entered. If the equipment cost is less than the rebate, the Total Rebate Amount will default to the cost of the equipment.</a:t>
          </a:r>
        </a:p>
        <a:p>
          <a:pPr algn="l" rtl="0">
            <a:defRPr sz="1000"/>
          </a:pPr>
          <a:endParaRPr lang="en-US" sz="1100" b="0" i="0" u="none" strike="noStrike" baseline="0">
            <a:solidFill>
              <a:srgbClr val="000000"/>
            </a:solidFill>
            <a:latin typeface="Calibri"/>
            <a:cs typeface="Calibri"/>
          </a:endParaRPr>
        </a:p>
        <a:p>
          <a:pPr algn="l" rtl="0">
            <a:defRPr sz="1000"/>
          </a:pPr>
          <a:r>
            <a:rPr lang="en-US" sz="1100" b="0" i="0" u="sng" strike="noStrike" baseline="0">
              <a:solidFill>
                <a:srgbClr val="000000"/>
              </a:solidFill>
              <a:latin typeface="Calibri"/>
              <a:cs typeface="Calibri"/>
            </a:rPr>
            <a:t>Rebate Information (Chillers-A) Sheet</a:t>
          </a: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Use the mouse to select “New Construction” or “Retrofit” at the top of the sheet.</a:t>
          </a:r>
        </a:p>
        <a:p>
          <a:pPr algn="l" rtl="0">
            <a:defRPr sz="1000"/>
          </a:pP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Fields that accept data entry are shaded yellow.  Fields that are calculated based on other values entered are not shaded.</a:t>
          </a:r>
        </a:p>
        <a:p>
          <a:pPr algn="l" rtl="0">
            <a:defRPr sz="1000"/>
          </a:pP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Begin by entering the baseline information in columns B, C and D.</a:t>
          </a:r>
        </a:p>
        <a:p>
          <a:pPr algn="l" rtl="0">
            <a:defRPr sz="1000"/>
          </a:pP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In column E, select the correct Unit Code from Table 1.  Once the code is in the cell, the Path (A or B), the Existing System, Unit Code (Column A), Minimum Full Load EER (Column I), IPLV EER (Column K), Base Rebate $/Ton (Column P), and IPLV Bonus Rebate*$/Ton (Column R) columns will automatically be entered into the appropriate cells.</a:t>
          </a:r>
        </a:p>
        <a:p>
          <a:pPr algn="l" rtl="0">
            <a:defRPr sz="1000"/>
          </a:pP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Once Rated Full Load EER (Columns J) Rated IPLV EER (Column L) and Qty. (Column M) columns have been filled out, the Base Rebate (Column Q) and Total Eff Bonus (Column S) will automatically be entered.  </a:t>
          </a:r>
        </a:p>
        <a:p>
          <a:pPr algn="l" rtl="0">
            <a:defRPr sz="1000"/>
          </a:pP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Lastly, once the  Equipment Cost (Column O) of the New System has been entered, the Total Rebate (Column T), will automatically be entered. If the equipment cost is less than the rebate, the Total Rebate Amount will default to the cost of the equipment.</a:t>
          </a:r>
        </a:p>
        <a:p>
          <a:pPr algn="l" rtl="0">
            <a:defRPr sz="1000"/>
          </a:pPr>
          <a:endParaRPr lang="en-US" sz="1100" b="0" i="0" u="none" strike="noStrike" baseline="0">
            <a:solidFill>
              <a:srgbClr val="000000"/>
            </a:solidFill>
            <a:latin typeface="Calibri"/>
            <a:cs typeface="Calibri"/>
          </a:endParaRPr>
        </a:p>
        <a:p>
          <a:pPr algn="l" rtl="0">
            <a:defRPr sz="1000"/>
          </a:pPr>
          <a:r>
            <a:rPr lang="en-US" sz="1100" b="0" i="0" u="sng" strike="noStrike" baseline="0">
              <a:solidFill>
                <a:srgbClr val="000000"/>
              </a:solidFill>
              <a:latin typeface="Calibri"/>
              <a:cs typeface="Calibri"/>
            </a:rPr>
            <a:t>Cooling RTU Savings Sheet</a:t>
          </a: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The user may change the Demand and Energy Rate at the top of the sheet.  All other values on this sheet are calculated.  For a rate that does not have a demand component, set “Demand” to zero.</a:t>
          </a:r>
        </a:p>
        <a:p>
          <a:pPr algn="l" rtl="0">
            <a:defRPr sz="1000"/>
          </a:pPr>
          <a:endParaRPr lang="en-US" sz="1100" b="0" i="0" u="none" strike="noStrike" baseline="0">
            <a:solidFill>
              <a:srgbClr val="000000"/>
            </a:solidFill>
            <a:latin typeface="Calibri"/>
            <a:cs typeface="Calibri"/>
          </a:endParaRPr>
        </a:p>
        <a:p>
          <a:pPr algn="l" rtl="0">
            <a:defRPr sz="1000"/>
          </a:pPr>
          <a:r>
            <a:rPr lang="en-US" sz="1100" b="0" i="0" u="sng" strike="noStrike" baseline="0">
              <a:solidFill>
                <a:srgbClr val="000000"/>
              </a:solidFill>
              <a:latin typeface="Calibri"/>
              <a:cs typeface="Calibri"/>
            </a:rPr>
            <a:t>Water Cooled Chillers Savings Sheet</a:t>
          </a: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The user may change the Demand and Energy Rate at the top of the sheet.  All other values on this sheet are calculated.  For a rate that does not have a demand component, set “Demand” to zero.</a:t>
          </a:r>
        </a:p>
        <a:p>
          <a:pPr algn="l" rtl="0">
            <a:defRPr sz="1000"/>
          </a:pPr>
          <a:endParaRPr lang="en-US" sz="1100" b="0" i="0" u="none" strike="noStrike" baseline="0">
            <a:solidFill>
              <a:srgbClr val="000000"/>
            </a:solidFill>
            <a:latin typeface="Calibri"/>
            <a:cs typeface="Calibri"/>
          </a:endParaRPr>
        </a:p>
        <a:p>
          <a:pPr algn="l" rtl="0">
            <a:defRPr sz="1000"/>
          </a:pPr>
          <a:r>
            <a:rPr lang="en-US" sz="1100" b="0" i="0" u="sng" strike="noStrike" baseline="0">
              <a:solidFill>
                <a:srgbClr val="000000"/>
              </a:solidFill>
              <a:latin typeface="Calibri"/>
              <a:cs typeface="Calibri"/>
            </a:rPr>
            <a:t>Air Cooled Chillers Savings Sheet</a:t>
          </a: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The user may change the Demand and Energy Rate at the top of the sheet.  All other values on this sheet are calculated.  For a rate that does not have a demand component, set “Demand” to zero.</a:t>
          </a:r>
        </a:p>
        <a:p>
          <a:pPr algn="l" rtl="0">
            <a:defRPr sz="1000"/>
          </a:pPr>
          <a:endParaRPr lang="en-US" sz="1100" b="0" i="0" u="none" strike="noStrike" baseline="0">
            <a:solidFill>
              <a:srgbClr val="000000"/>
            </a:solidFill>
            <a:latin typeface="Calibri"/>
            <a:cs typeface="Calibri"/>
          </a:endParaRPr>
        </a:p>
        <a:p>
          <a:pPr algn="l" rtl="0">
            <a:defRPr sz="1000"/>
          </a:pPr>
          <a:r>
            <a:rPr lang="en-US" sz="1100" b="0" i="0" u="sng" strike="noStrike" baseline="0">
              <a:solidFill>
                <a:srgbClr val="000000"/>
              </a:solidFill>
              <a:latin typeface="Calibri"/>
              <a:cs typeface="Calibri"/>
            </a:rPr>
            <a:t>Financial Summary Sheet</a:t>
          </a: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All values on this sheet are calculated.</a:t>
          </a:r>
        </a:p>
        <a:p>
          <a:pPr algn="l" rtl="0">
            <a:defRPr sz="1000"/>
          </a:pPr>
          <a:endParaRPr lang="en-US" sz="1100" b="0" i="0" u="none" strike="noStrike" baseline="0">
            <a:solidFill>
              <a:srgbClr val="000000"/>
            </a:solidFill>
            <a:latin typeface="Calibri"/>
            <a:cs typeface="Calibri"/>
          </a:endParaRPr>
        </a:p>
        <a:p>
          <a:pPr algn="l" rtl="0">
            <a:defRPr sz="1000"/>
          </a:pPr>
          <a:r>
            <a:rPr lang="en-US" sz="1100" b="0" i="0" u="sng" strike="noStrike" baseline="0">
              <a:solidFill>
                <a:srgbClr val="000000"/>
              </a:solidFill>
              <a:latin typeface="Calibri"/>
              <a:cs typeface="Calibri"/>
            </a:rPr>
            <a:t>Terms &amp; Conditions Sheet</a:t>
          </a: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Standard terms and conditions for the rebate program are listed.  No entry by the user.</a:t>
          </a:r>
        </a:p>
        <a:p>
          <a:pPr algn="l" rtl="0">
            <a:defRPr sz="1000"/>
          </a:pPr>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xdr:row>
      <xdr:rowOff>0</xdr:rowOff>
    </xdr:from>
    <xdr:to>
      <xdr:col>11</xdr:col>
      <xdr:colOff>1143000</xdr:colOff>
      <xdr:row>6</xdr:row>
      <xdr:rowOff>219075</xdr:rowOff>
    </xdr:to>
    <xdr:sp macro="" textlink="">
      <xdr:nvSpPr>
        <xdr:cNvPr id="3" name="Text Box 3">
          <a:extLst>
            <a:ext uri="{FF2B5EF4-FFF2-40B4-BE49-F238E27FC236}">
              <a16:creationId xmlns:a16="http://schemas.microsoft.com/office/drawing/2014/main" id="{00000000-0008-0000-0100-000003000000}"/>
            </a:ext>
          </a:extLst>
        </xdr:cNvPr>
        <xdr:cNvSpPr txBox="1">
          <a:spLocks noChangeArrowheads="1"/>
        </xdr:cNvSpPr>
      </xdr:nvSpPr>
      <xdr:spPr bwMode="auto">
        <a:xfrm>
          <a:off x="0" y="790575"/>
          <a:ext cx="7410450" cy="409575"/>
        </a:xfrm>
        <a:prstGeom prst="rect">
          <a:avLst/>
        </a:prstGeom>
        <a:solidFill>
          <a:srgbClr val="C0C0C0"/>
        </a:solidFill>
        <a:ln w="9525">
          <a:solidFill>
            <a:srgbClr val="000000"/>
          </a:solidFill>
          <a:miter lim="800000"/>
          <a:headEnd/>
          <a:tailEnd/>
        </a:ln>
      </xdr:spPr>
      <xdr:txBody>
        <a:bodyPr vertOverflow="clip" wrap="square" lIns="45720" tIns="45720" rIns="45720" bIns="45720" anchor="ctr" upright="1"/>
        <a:lstStyle/>
        <a:p>
          <a:pPr algn="ctr" rtl="0">
            <a:defRPr sz="1000"/>
          </a:pPr>
          <a:r>
            <a:rPr lang="en-US" sz="1400" b="0" i="0" strike="noStrike">
              <a:solidFill>
                <a:srgbClr val="000000"/>
              </a:solidFill>
              <a:latin typeface="Arial Black"/>
            </a:rPr>
            <a:t>COMMERCIAL COOLING</a:t>
          </a:r>
          <a:r>
            <a:rPr lang="en-US" sz="1400" b="0" i="0" strike="noStrike" baseline="0">
              <a:solidFill>
                <a:srgbClr val="000000"/>
              </a:solidFill>
              <a:latin typeface="Arial Black"/>
            </a:rPr>
            <a:t> EQUIPMENT </a:t>
          </a:r>
          <a:r>
            <a:rPr lang="en-US" sz="1400" b="0" i="0" strike="noStrike">
              <a:solidFill>
                <a:srgbClr val="000000"/>
              </a:solidFill>
              <a:latin typeface="Arial Black"/>
            </a:rPr>
            <a:t>REBATE APPLICATION</a:t>
          </a:r>
        </a:p>
      </xdr:txBody>
    </xdr:sp>
    <xdr:clientData/>
  </xdr:twoCellAnchor>
  <xdr:twoCellAnchor>
    <xdr:from>
      <xdr:col>0</xdr:col>
      <xdr:colOff>0</xdr:colOff>
      <xdr:row>6</xdr:row>
      <xdr:rowOff>285750</xdr:rowOff>
    </xdr:from>
    <xdr:to>
      <xdr:col>11</xdr:col>
      <xdr:colOff>1143000</xdr:colOff>
      <xdr:row>8</xdr:row>
      <xdr:rowOff>47625</xdr:rowOff>
    </xdr:to>
    <xdr:sp macro="" textlink="">
      <xdr:nvSpPr>
        <xdr:cNvPr id="4" name="Rectangle 4">
          <a:extLst>
            <a:ext uri="{FF2B5EF4-FFF2-40B4-BE49-F238E27FC236}">
              <a16:creationId xmlns:a16="http://schemas.microsoft.com/office/drawing/2014/main" id="{00000000-0008-0000-0100-000004000000}"/>
            </a:ext>
          </a:extLst>
        </xdr:cNvPr>
        <xdr:cNvSpPr>
          <a:spLocks noChangeArrowheads="1"/>
        </xdr:cNvSpPr>
      </xdr:nvSpPr>
      <xdr:spPr bwMode="auto">
        <a:xfrm>
          <a:off x="0" y="1266825"/>
          <a:ext cx="7410450" cy="285750"/>
        </a:xfrm>
        <a:prstGeom prst="rect">
          <a:avLst/>
        </a:prstGeom>
        <a:solidFill>
          <a:srgbClr val="C0C0C0"/>
        </a:solidFill>
        <a:ln w="9525">
          <a:solidFill>
            <a:srgbClr val="000000"/>
          </a:solidFill>
          <a:miter lim="800000"/>
          <a:headEnd/>
          <a:tailEnd/>
        </a:ln>
      </xdr:spPr>
      <xdr:txBody>
        <a:bodyPr vertOverflow="clip" wrap="square" lIns="36576" tIns="41148" rIns="0" bIns="0" anchor="t" upright="1"/>
        <a:lstStyle/>
        <a:p>
          <a:pPr algn="l" rtl="0">
            <a:defRPr sz="1000"/>
          </a:pPr>
          <a:r>
            <a:rPr lang="en-US" sz="1000" b="0" i="0" strike="noStrike">
              <a:solidFill>
                <a:srgbClr val="000000"/>
              </a:solidFill>
              <a:latin typeface="Arial Black"/>
            </a:rPr>
            <a:t>SECTION</a:t>
          </a:r>
          <a:r>
            <a:rPr lang="en-US" sz="1000" b="0" i="0" strike="noStrike" baseline="0">
              <a:solidFill>
                <a:srgbClr val="000000"/>
              </a:solidFill>
              <a:latin typeface="Arial Black"/>
            </a:rPr>
            <a:t> A</a:t>
          </a:r>
          <a:r>
            <a:rPr lang="en-US" sz="1000" b="0" i="0" strike="noStrike">
              <a:solidFill>
                <a:srgbClr val="000000"/>
              </a:solidFill>
              <a:latin typeface="Arial Black"/>
            </a:rPr>
            <a:t>.  CUSTOMER INFORMATION (please print)</a:t>
          </a:r>
        </a:p>
      </xdr:txBody>
    </xdr:sp>
    <xdr:clientData/>
  </xdr:twoCellAnchor>
  <xdr:twoCellAnchor>
    <xdr:from>
      <xdr:col>0</xdr:col>
      <xdr:colOff>0</xdr:colOff>
      <xdr:row>28</xdr:row>
      <xdr:rowOff>95250</xdr:rowOff>
    </xdr:from>
    <xdr:to>
      <xdr:col>11</xdr:col>
      <xdr:colOff>809625</xdr:colOff>
      <xdr:row>29</xdr:row>
      <xdr:rowOff>152400</xdr:rowOff>
    </xdr:to>
    <xdr:sp macro="" textlink="">
      <xdr:nvSpPr>
        <xdr:cNvPr id="6" name="Rectangle 77">
          <a:extLst>
            <a:ext uri="{FF2B5EF4-FFF2-40B4-BE49-F238E27FC236}">
              <a16:creationId xmlns:a16="http://schemas.microsoft.com/office/drawing/2014/main" id="{00000000-0008-0000-0100-000006000000}"/>
            </a:ext>
          </a:extLst>
        </xdr:cNvPr>
        <xdr:cNvSpPr>
          <a:spLocks noChangeArrowheads="1"/>
        </xdr:cNvSpPr>
      </xdr:nvSpPr>
      <xdr:spPr bwMode="auto">
        <a:xfrm>
          <a:off x="0" y="4695825"/>
          <a:ext cx="7391400" cy="247650"/>
        </a:xfrm>
        <a:prstGeom prst="rect">
          <a:avLst/>
        </a:prstGeom>
        <a:solidFill>
          <a:srgbClr val="C0C0C0"/>
        </a:solidFill>
        <a:ln w="9525">
          <a:solidFill>
            <a:srgbClr val="000000"/>
          </a:solidFill>
          <a:miter lim="800000"/>
          <a:headEnd/>
          <a:tailEnd/>
        </a:ln>
      </xdr:spPr>
      <xdr:txBody>
        <a:bodyPr vertOverflow="clip" wrap="square" lIns="36576" tIns="41148" rIns="0" bIns="0" anchor="t" upright="1"/>
        <a:lstStyle/>
        <a:p>
          <a:pPr algn="l" rtl="0">
            <a:defRPr sz="1000"/>
          </a:pPr>
          <a:r>
            <a:rPr lang="en-US" sz="1000" b="0" i="0" strike="noStrike" baseline="0">
              <a:solidFill>
                <a:srgbClr val="000000"/>
              </a:solidFill>
              <a:latin typeface="Arial Black"/>
            </a:rPr>
            <a:t> SECTION B.</a:t>
          </a:r>
          <a:r>
            <a:rPr lang="en-US" sz="1000" b="0" i="0" strike="noStrike">
              <a:solidFill>
                <a:srgbClr val="000000"/>
              </a:solidFill>
              <a:latin typeface="Arial Black"/>
            </a:rPr>
            <a:t> CONTACT INFORMATION (please print) / CUSTOMER SIGNATURE</a:t>
          </a:r>
        </a:p>
      </xdr:txBody>
    </xdr:sp>
    <xdr:clientData/>
  </xdr:twoCellAnchor>
  <xdr:twoCellAnchor>
    <xdr:from>
      <xdr:col>2</xdr:col>
      <xdr:colOff>180975</xdr:colOff>
      <xdr:row>30</xdr:row>
      <xdr:rowOff>9525</xdr:rowOff>
    </xdr:from>
    <xdr:to>
      <xdr:col>11</xdr:col>
      <xdr:colOff>600075</xdr:colOff>
      <xdr:row>33</xdr:row>
      <xdr:rowOff>28575</xdr:rowOff>
    </xdr:to>
    <xdr:sp macro="" textlink="">
      <xdr:nvSpPr>
        <xdr:cNvPr id="7" name="Text Box 81">
          <a:extLst>
            <a:ext uri="{FF2B5EF4-FFF2-40B4-BE49-F238E27FC236}">
              <a16:creationId xmlns:a16="http://schemas.microsoft.com/office/drawing/2014/main" id="{00000000-0008-0000-0100-000007000000}"/>
            </a:ext>
          </a:extLst>
        </xdr:cNvPr>
        <xdr:cNvSpPr txBox="1">
          <a:spLocks noChangeArrowheads="1"/>
        </xdr:cNvSpPr>
      </xdr:nvSpPr>
      <xdr:spPr bwMode="auto">
        <a:xfrm>
          <a:off x="962025" y="4876800"/>
          <a:ext cx="5905500" cy="34290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1" i="0" strike="noStrike">
              <a:solidFill>
                <a:srgbClr val="000000"/>
              </a:solidFill>
              <a:latin typeface="Arial"/>
              <a:cs typeface="Arial"/>
            </a:rPr>
            <a:t>ALL INVOICES OR RECEIPTS AND ALL SPECIFICATION SHEETS MUST BE INCLUDED WITH YOUR FULLY-COMPLETED AND SIGNED APPLICATION OR APPLICATION WILL BE RETURNED</a:t>
          </a:r>
          <a:r>
            <a:rPr lang="en-US" sz="1000" b="1" i="0" strike="noStrike">
              <a:solidFill>
                <a:srgbClr val="000000"/>
              </a:solidFill>
              <a:latin typeface="Arial"/>
              <a:cs typeface="Arial"/>
            </a:rPr>
            <a:t>.</a:t>
          </a:r>
        </a:p>
      </xdr:txBody>
    </xdr:sp>
    <xdr:clientData/>
  </xdr:twoCellAnchor>
  <xdr:twoCellAnchor>
    <xdr:from>
      <xdr:col>1</xdr:col>
      <xdr:colOff>19050</xdr:colOff>
      <xdr:row>29</xdr:row>
      <xdr:rowOff>152400</xdr:rowOff>
    </xdr:from>
    <xdr:to>
      <xdr:col>3</xdr:col>
      <xdr:colOff>66675</xdr:colOff>
      <xdr:row>31</xdr:row>
      <xdr:rowOff>0</xdr:rowOff>
    </xdr:to>
    <xdr:sp macro="" textlink="">
      <xdr:nvSpPr>
        <xdr:cNvPr id="8" name="Text Box 82">
          <a:extLst>
            <a:ext uri="{FF2B5EF4-FFF2-40B4-BE49-F238E27FC236}">
              <a16:creationId xmlns:a16="http://schemas.microsoft.com/office/drawing/2014/main" id="{00000000-0008-0000-0100-000008000000}"/>
            </a:ext>
          </a:extLst>
        </xdr:cNvPr>
        <xdr:cNvSpPr txBox="1">
          <a:spLocks noChangeArrowheads="1"/>
        </xdr:cNvSpPr>
      </xdr:nvSpPr>
      <xdr:spPr bwMode="auto">
        <a:xfrm>
          <a:off x="142875" y="4829175"/>
          <a:ext cx="1314450" cy="22860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1" i="0" strike="noStrike">
              <a:solidFill>
                <a:srgbClr val="000000"/>
              </a:solidFill>
              <a:latin typeface="Arial"/>
              <a:cs typeface="Arial"/>
            </a:rPr>
            <a:t>ATTENTION:</a:t>
          </a:r>
        </a:p>
      </xdr:txBody>
    </xdr:sp>
    <xdr:clientData/>
  </xdr:twoCellAnchor>
  <xdr:twoCellAnchor>
    <xdr:from>
      <xdr:col>1</xdr:col>
      <xdr:colOff>9525</xdr:colOff>
      <xdr:row>38</xdr:row>
      <xdr:rowOff>57150</xdr:rowOff>
    </xdr:from>
    <xdr:to>
      <xdr:col>11</xdr:col>
      <xdr:colOff>561975</xdr:colOff>
      <xdr:row>43</xdr:row>
      <xdr:rowOff>19050</xdr:rowOff>
    </xdr:to>
    <xdr:sp macro="" textlink="">
      <xdr:nvSpPr>
        <xdr:cNvPr id="9" name="Text Box 89">
          <a:extLst>
            <a:ext uri="{FF2B5EF4-FFF2-40B4-BE49-F238E27FC236}">
              <a16:creationId xmlns:a16="http://schemas.microsoft.com/office/drawing/2014/main" id="{00000000-0008-0000-0100-000009000000}"/>
            </a:ext>
          </a:extLst>
        </xdr:cNvPr>
        <xdr:cNvSpPr txBox="1">
          <a:spLocks noChangeArrowheads="1"/>
        </xdr:cNvSpPr>
      </xdr:nvSpPr>
      <xdr:spPr bwMode="auto">
        <a:xfrm>
          <a:off x="133350" y="5953125"/>
          <a:ext cx="6696075" cy="733425"/>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1" i="0" strike="noStrike">
              <a:solidFill>
                <a:srgbClr val="000000"/>
              </a:solidFill>
              <a:latin typeface="Arial"/>
              <a:cs typeface="Arial"/>
            </a:rPr>
            <a:t>By typing my first and last names in the box below, I am signing this document and certify that all the information in the application (including any associated worksheets) is correct to the best of my knowledge. I have read and agree to the Terms and Conditions on the back of this application booklet. I understand that if any equipment in conjunction with this application is ordered, purchased, or installed before approval from The Utility is received, the proposed project may not qualify for a rebate.  </a:t>
          </a:r>
        </a:p>
      </xdr:txBody>
    </xdr:sp>
    <xdr:clientData/>
  </xdr:twoCellAnchor>
  <xdr:twoCellAnchor>
    <xdr:from>
      <xdr:col>0</xdr:col>
      <xdr:colOff>9525</xdr:colOff>
      <xdr:row>46</xdr:row>
      <xdr:rowOff>104775</xdr:rowOff>
    </xdr:from>
    <xdr:to>
      <xdr:col>11</xdr:col>
      <xdr:colOff>828675</xdr:colOff>
      <xdr:row>48</xdr:row>
      <xdr:rowOff>0</xdr:rowOff>
    </xdr:to>
    <xdr:sp macro="" textlink="">
      <xdr:nvSpPr>
        <xdr:cNvPr id="10" name="Rectangle 93">
          <a:extLst>
            <a:ext uri="{FF2B5EF4-FFF2-40B4-BE49-F238E27FC236}">
              <a16:creationId xmlns:a16="http://schemas.microsoft.com/office/drawing/2014/main" id="{00000000-0008-0000-0100-00000A000000}"/>
            </a:ext>
          </a:extLst>
        </xdr:cNvPr>
        <xdr:cNvSpPr>
          <a:spLocks noChangeArrowheads="1"/>
        </xdr:cNvSpPr>
      </xdr:nvSpPr>
      <xdr:spPr bwMode="auto">
        <a:xfrm>
          <a:off x="9525" y="7410450"/>
          <a:ext cx="7400925" cy="276225"/>
        </a:xfrm>
        <a:prstGeom prst="rect">
          <a:avLst/>
        </a:prstGeom>
        <a:solidFill>
          <a:srgbClr val="C0C0C0"/>
        </a:solidFill>
        <a:ln w="9525">
          <a:solidFill>
            <a:srgbClr val="000000"/>
          </a:solidFill>
          <a:miter lim="800000"/>
          <a:headEnd/>
          <a:tailEnd/>
        </a:ln>
      </xdr:spPr>
      <xdr:txBody>
        <a:bodyPr vertOverflow="clip" wrap="square" lIns="36576" tIns="41148" rIns="0" bIns="0" anchor="t" upright="1"/>
        <a:lstStyle/>
        <a:p>
          <a:pPr algn="l" rtl="0">
            <a:defRPr sz="1000"/>
          </a:pPr>
          <a:r>
            <a:rPr lang="en-US" sz="1000" b="0" i="0" strike="noStrike">
              <a:solidFill>
                <a:srgbClr val="000000"/>
              </a:solidFill>
              <a:latin typeface="Arial Black"/>
            </a:rPr>
            <a:t> SECTION C.  CONTRACTOR / VENDOR INFORMATION (please print)</a:t>
          </a:r>
        </a:p>
      </xdr:txBody>
    </xdr:sp>
    <xdr:clientData/>
  </xdr:twoCellAnchor>
  <xdr:twoCellAnchor>
    <xdr:from>
      <xdr:col>1</xdr:col>
      <xdr:colOff>276224</xdr:colOff>
      <xdr:row>45</xdr:row>
      <xdr:rowOff>28577</xdr:rowOff>
    </xdr:from>
    <xdr:to>
      <xdr:col>11</xdr:col>
      <xdr:colOff>590549</xdr:colOff>
      <xdr:row>46</xdr:row>
      <xdr:rowOff>38101</xdr:rowOff>
    </xdr:to>
    <xdr:sp macro="" textlink="">
      <xdr:nvSpPr>
        <xdr:cNvPr id="27" name="TextBox 26">
          <a:extLst>
            <a:ext uri="{FF2B5EF4-FFF2-40B4-BE49-F238E27FC236}">
              <a16:creationId xmlns:a16="http://schemas.microsoft.com/office/drawing/2014/main" id="{00000000-0008-0000-0100-00001B000000}"/>
            </a:ext>
          </a:extLst>
        </xdr:cNvPr>
        <xdr:cNvSpPr txBox="1"/>
      </xdr:nvSpPr>
      <xdr:spPr>
        <a:xfrm>
          <a:off x="400049" y="7029452"/>
          <a:ext cx="6457950" cy="2000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700">
              <a:latin typeface="Arial" pitchFamily="34" charset="0"/>
              <a:cs typeface="Arial" pitchFamily="34" charset="0"/>
            </a:rPr>
            <a:t>Check here if you DO NOT give us permission to use your business name in advertising our Conserve &amp; Save program (e.g. utility  website, newspaper ads).</a:t>
          </a:r>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45</xdr:row>
          <xdr:rowOff>9525</xdr:rowOff>
        </xdr:from>
        <xdr:to>
          <xdr:col>1</xdr:col>
          <xdr:colOff>323850</xdr:colOff>
          <xdr:row>46</xdr:row>
          <xdr:rowOff>85725</xdr:rowOff>
        </xdr:to>
        <xdr:sp macro="" textlink="">
          <xdr:nvSpPr>
            <xdr:cNvPr id="540697" name="Check Box 25" hidden="1">
              <a:extLst>
                <a:ext uri="{63B3BB69-23CF-44E3-9099-C40C66FF867C}">
                  <a14:compatExt spid="_x0000_s540697"/>
                </a:ext>
                <a:ext uri="{FF2B5EF4-FFF2-40B4-BE49-F238E27FC236}">
                  <a16:creationId xmlns:a16="http://schemas.microsoft.com/office/drawing/2014/main" id="{00000000-0008-0000-0100-000019400800}"/>
                </a:ext>
              </a:extLst>
            </xdr:cNvPr>
            <xdr:cNvSpPr/>
          </xdr:nvSpPr>
          <xdr:spPr bwMode="auto">
            <a:xfrm>
              <a:off x="0" y="0"/>
              <a:ext cx="0" cy="0"/>
            </a:xfrm>
            <a:prstGeom prst="rect">
              <a:avLst/>
            </a:prstGeom>
            <a:noFill/>
            <a:ln>
              <a:noFill/>
            </a:ln>
            <a:effectLst/>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21</xdr:row>
          <xdr:rowOff>9525</xdr:rowOff>
        </xdr:from>
        <xdr:to>
          <xdr:col>4</xdr:col>
          <xdr:colOff>19050</xdr:colOff>
          <xdr:row>22</xdr:row>
          <xdr:rowOff>28575</xdr:rowOff>
        </xdr:to>
        <xdr:sp macro="" textlink="">
          <xdr:nvSpPr>
            <xdr:cNvPr id="541640" name="Option Button 968" hidden="1">
              <a:extLst>
                <a:ext uri="{63B3BB69-23CF-44E3-9099-C40C66FF867C}">
                  <a14:compatExt spid="_x0000_s541640"/>
                </a:ext>
                <a:ext uri="{FF2B5EF4-FFF2-40B4-BE49-F238E27FC236}">
                  <a16:creationId xmlns:a16="http://schemas.microsoft.com/office/drawing/2014/main" id="{00000000-0008-0000-0100-0000C843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Church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21</xdr:row>
          <xdr:rowOff>9525</xdr:rowOff>
        </xdr:from>
        <xdr:to>
          <xdr:col>5</xdr:col>
          <xdr:colOff>180975</xdr:colOff>
          <xdr:row>22</xdr:row>
          <xdr:rowOff>28575</xdr:rowOff>
        </xdr:to>
        <xdr:sp macro="" textlink="">
          <xdr:nvSpPr>
            <xdr:cNvPr id="541641" name="Option Button 969" hidden="1">
              <a:extLst>
                <a:ext uri="{63B3BB69-23CF-44E3-9099-C40C66FF867C}">
                  <a14:compatExt spid="_x0000_s541641"/>
                </a:ext>
                <a:ext uri="{FF2B5EF4-FFF2-40B4-BE49-F238E27FC236}">
                  <a16:creationId xmlns:a16="http://schemas.microsoft.com/office/drawing/2014/main" id="{00000000-0008-0000-0100-0000C943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Government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542925</xdr:colOff>
          <xdr:row>21</xdr:row>
          <xdr:rowOff>9525</xdr:rowOff>
        </xdr:from>
        <xdr:to>
          <xdr:col>6</xdr:col>
          <xdr:colOff>171450</xdr:colOff>
          <xdr:row>22</xdr:row>
          <xdr:rowOff>28575</xdr:rowOff>
        </xdr:to>
        <xdr:sp macro="" textlink="">
          <xdr:nvSpPr>
            <xdr:cNvPr id="541642" name="Option Button 970" hidden="1">
              <a:extLst>
                <a:ext uri="{63B3BB69-23CF-44E3-9099-C40C66FF867C}">
                  <a14:compatExt spid="_x0000_s541642"/>
                </a:ext>
                <a:ext uri="{FF2B5EF4-FFF2-40B4-BE49-F238E27FC236}">
                  <a16:creationId xmlns:a16="http://schemas.microsoft.com/office/drawing/2014/main" id="{00000000-0008-0000-0100-0000CA43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Grocery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21</xdr:row>
          <xdr:rowOff>9525</xdr:rowOff>
        </xdr:from>
        <xdr:to>
          <xdr:col>7</xdr:col>
          <xdr:colOff>571500</xdr:colOff>
          <xdr:row>22</xdr:row>
          <xdr:rowOff>28575</xdr:rowOff>
        </xdr:to>
        <xdr:sp macro="" textlink="">
          <xdr:nvSpPr>
            <xdr:cNvPr id="541643" name="Option Button 971" hidden="1">
              <a:extLst>
                <a:ext uri="{63B3BB69-23CF-44E3-9099-C40C66FF867C}">
                  <a14:compatExt spid="_x0000_s541643"/>
                </a:ext>
                <a:ext uri="{FF2B5EF4-FFF2-40B4-BE49-F238E27FC236}">
                  <a16:creationId xmlns:a16="http://schemas.microsoft.com/office/drawing/2014/main" id="{00000000-0008-0000-0100-0000CB43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Health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21</xdr:row>
          <xdr:rowOff>9525</xdr:rowOff>
        </xdr:from>
        <xdr:to>
          <xdr:col>9</xdr:col>
          <xdr:colOff>9525</xdr:colOff>
          <xdr:row>22</xdr:row>
          <xdr:rowOff>28575</xdr:rowOff>
        </xdr:to>
        <xdr:sp macro="" textlink="">
          <xdr:nvSpPr>
            <xdr:cNvPr id="541644" name="Option Button 972" hidden="1">
              <a:extLst>
                <a:ext uri="{63B3BB69-23CF-44E3-9099-C40C66FF867C}">
                  <a14:compatExt spid="_x0000_s541644"/>
                </a:ext>
                <a:ext uri="{FF2B5EF4-FFF2-40B4-BE49-F238E27FC236}">
                  <a16:creationId xmlns:a16="http://schemas.microsoft.com/office/drawing/2014/main" id="{00000000-0008-0000-0100-0000CC43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Industrial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466725</xdr:colOff>
          <xdr:row>21</xdr:row>
          <xdr:rowOff>9525</xdr:rowOff>
        </xdr:from>
        <xdr:to>
          <xdr:col>10</xdr:col>
          <xdr:colOff>200025</xdr:colOff>
          <xdr:row>22</xdr:row>
          <xdr:rowOff>28575</xdr:rowOff>
        </xdr:to>
        <xdr:sp macro="" textlink="">
          <xdr:nvSpPr>
            <xdr:cNvPr id="541645" name="Option Button 973" hidden="1">
              <a:extLst>
                <a:ext uri="{63B3BB69-23CF-44E3-9099-C40C66FF867C}">
                  <a14:compatExt spid="_x0000_s541645"/>
                </a:ext>
                <a:ext uri="{FF2B5EF4-FFF2-40B4-BE49-F238E27FC236}">
                  <a16:creationId xmlns:a16="http://schemas.microsoft.com/office/drawing/2014/main" id="{00000000-0008-0000-0100-0000CD43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Lodging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22</xdr:row>
          <xdr:rowOff>19050</xdr:rowOff>
        </xdr:from>
        <xdr:to>
          <xdr:col>4</xdr:col>
          <xdr:colOff>19050</xdr:colOff>
          <xdr:row>23</xdr:row>
          <xdr:rowOff>19050</xdr:rowOff>
        </xdr:to>
        <xdr:sp macro="" textlink="">
          <xdr:nvSpPr>
            <xdr:cNvPr id="541646" name="Option Button 974" hidden="1">
              <a:extLst>
                <a:ext uri="{63B3BB69-23CF-44E3-9099-C40C66FF867C}">
                  <a14:compatExt spid="_x0000_s541646"/>
                </a:ext>
                <a:ext uri="{FF2B5EF4-FFF2-40B4-BE49-F238E27FC236}">
                  <a16:creationId xmlns:a16="http://schemas.microsoft.com/office/drawing/2014/main" id="{00000000-0008-0000-0100-0000CE43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Multi-Family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22</xdr:row>
          <xdr:rowOff>19050</xdr:rowOff>
        </xdr:from>
        <xdr:to>
          <xdr:col>5</xdr:col>
          <xdr:colOff>180975</xdr:colOff>
          <xdr:row>23</xdr:row>
          <xdr:rowOff>19050</xdr:rowOff>
        </xdr:to>
        <xdr:sp macro="" textlink="">
          <xdr:nvSpPr>
            <xdr:cNvPr id="541647" name="Option Button 975" hidden="1">
              <a:extLst>
                <a:ext uri="{63B3BB69-23CF-44E3-9099-C40C66FF867C}">
                  <a14:compatExt spid="_x0000_s541647"/>
                </a:ext>
                <a:ext uri="{FF2B5EF4-FFF2-40B4-BE49-F238E27FC236}">
                  <a16:creationId xmlns:a16="http://schemas.microsoft.com/office/drawing/2014/main" id="{00000000-0008-0000-0100-0000CF43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Office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542925</xdr:colOff>
          <xdr:row>22</xdr:row>
          <xdr:rowOff>19050</xdr:rowOff>
        </xdr:from>
        <xdr:to>
          <xdr:col>6</xdr:col>
          <xdr:colOff>171450</xdr:colOff>
          <xdr:row>23</xdr:row>
          <xdr:rowOff>19050</xdr:rowOff>
        </xdr:to>
        <xdr:sp macro="" textlink="">
          <xdr:nvSpPr>
            <xdr:cNvPr id="541648" name="Option Button 976" hidden="1">
              <a:extLst>
                <a:ext uri="{63B3BB69-23CF-44E3-9099-C40C66FF867C}">
                  <a14:compatExt spid="_x0000_s541648"/>
                </a:ext>
                <a:ext uri="{FF2B5EF4-FFF2-40B4-BE49-F238E27FC236}">
                  <a16:creationId xmlns:a16="http://schemas.microsoft.com/office/drawing/2014/main" id="{00000000-0008-0000-0100-0000D043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Restaurant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22</xdr:row>
          <xdr:rowOff>19050</xdr:rowOff>
        </xdr:from>
        <xdr:to>
          <xdr:col>7</xdr:col>
          <xdr:colOff>571500</xdr:colOff>
          <xdr:row>23</xdr:row>
          <xdr:rowOff>19050</xdr:rowOff>
        </xdr:to>
        <xdr:sp macro="" textlink="">
          <xdr:nvSpPr>
            <xdr:cNvPr id="541649" name="Option Button 977" hidden="1">
              <a:extLst>
                <a:ext uri="{63B3BB69-23CF-44E3-9099-C40C66FF867C}">
                  <a14:compatExt spid="_x0000_s541649"/>
                </a:ext>
                <a:ext uri="{FF2B5EF4-FFF2-40B4-BE49-F238E27FC236}">
                  <a16:creationId xmlns:a16="http://schemas.microsoft.com/office/drawing/2014/main" id="{00000000-0008-0000-0100-0000D143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Retail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22</xdr:row>
          <xdr:rowOff>19050</xdr:rowOff>
        </xdr:from>
        <xdr:to>
          <xdr:col>9</xdr:col>
          <xdr:colOff>9525</xdr:colOff>
          <xdr:row>23</xdr:row>
          <xdr:rowOff>19050</xdr:rowOff>
        </xdr:to>
        <xdr:sp macro="" textlink="">
          <xdr:nvSpPr>
            <xdr:cNvPr id="541650" name="Option Button 978" hidden="1">
              <a:extLst>
                <a:ext uri="{63B3BB69-23CF-44E3-9099-C40C66FF867C}">
                  <a14:compatExt spid="_x0000_s541650"/>
                </a:ext>
                <a:ext uri="{FF2B5EF4-FFF2-40B4-BE49-F238E27FC236}">
                  <a16:creationId xmlns:a16="http://schemas.microsoft.com/office/drawing/2014/main" id="{00000000-0008-0000-0100-0000D243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School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466725</xdr:colOff>
          <xdr:row>22</xdr:row>
          <xdr:rowOff>19050</xdr:rowOff>
        </xdr:from>
        <xdr:to>
          <xdr:col>10</xdr:col>
          <xdr:colOff>200025</xdr:colOff>
          <xdr:row>23</xdr:row>
          <xdr:rowOff>19050</xdr:rowOff>
        </xdr:to>
        <xdr:sp macro="" textlink="">
          <xdr:nvSpPr>
            <xdr:cNvPr id="541651" name="Option Button 979" hidden="1">
              <a:extLst>
                <a:ext uri="{63B3BB69-23CF-44E3-9099-C40C66FF867C}">
                  <a14:compatExt spid="_x0000_s541651"/>
                </a:ext>
                <a:ext uri="{FF2B5EF4-FFF2-40B4-BE49-F238E27FC236}">
                  <a16:creationId xmlns:a16="http://schemas.microsoft.com/office/drawing/2014/main" id="{00000000-0008-0000-0100-0000D343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&gt;&gt;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17</xdr:row>
          <xdr:rowOff>66675</xdr:rowOff>
        </xdr:from>
        <xdr:to>
          <xdr:col>11</xdr:col>
          <xdr:colOff>800100</xdr:colOff>
          <xdr:row>20</xdr:row>
          <xdr:rowOff>19050</xdr:rowOff>
        </xdr:to>
        <xdr:sp macro="" textlink="">
          <xdr:nvSpPr>
            <xdr:cNvPr id="541652" name="Group Box 980" hidden="1">
              <a:extLst>
                <a:ext uri="{63B3BB69-23CF-44E3-9099-C40C66FF867C}">
                  <a14:compatExt spid="_x0000_s541652"/>
                </a:ext>
                <a:ext uri="{FF2B5EF4-FFF2-40B4-BE49-F238E27FC236}">
                  <a16:creationId xmlns:a16="http://schemas.microsoft.com/office/drawing/2014/main" id="{00000000-0008-0000-0100-0000D44308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Tahoma"/>
                  <a:ea typeface="Tahoma"/>
                  <a:cs typeface="Tahoma"/>
                </a:rPr>
                <a:t>Please check 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xdr:colOff>
          <xdr:row>18</xdr:row>
          <xdr:rowOff>57150</xdr:rowOff>
        </xdr:from>
        <xdr:to>
          <xdr:col>9</xdr:col>
          <xdr:colOff>266700</xdr:colOff>
          <xdr:row>19</xdr:row>
          <xdr:rowOff>85725</xdr:rowOff>
        </xdr:to>
        <xdr:sp macro="" textlink="">
          <xdr:nvSpPr>
            <xdr:cNvPr id="541653" name="Option Button 981" hidden="1">
              <a:extLst>
                <a:ext uri="{63B3BB69-23CF-44E3-9099-C40C66FF867C}">
                  <a14:compatExt spid="_x0000_s541653"/>
                </a:ext>
                <a:ext uri="{FF2B5EF4-FFF2-40B4-BE49-F238E27FC236}">
                  <a16:creationId xmlns:a16="http://schemas.microsoft.com/office/drawing/2014/main" id="{00000000-0008-0000-0100-0000D543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Apply Rebate to our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333375</xdr:colOff>
          <xdr:row>18</xdr:row>
          <xdr:rowOff>57150</xdr:rowOff>
        </xdr:from>
        <xdr:to>
          <xdr:col>11</xdr:col>
          <xdr:colOff>685800</xdr:colOff>
          <xdr:row>19</xdr:row>
          <xdr:rowOff>85725</xdr:rowOff>
        </xdr:to>
        <xdr:sp macro="" textlink="">
          <xdr:nvSpPr>
            <xdr:cNvPr id="541654" name="Option Button 982" hidden="1">
              <a:extLst>
                <a:ext uri="{63B3BB69-23CF-44E3-9099-C40C66FF867C}">
                  <a14:compatExt spid="_x0000_s541654"/>
                </a:ext>
                <a:ext uri="{FF2B5EF4-FFF2-40B4-BE49-F238E27FC236}">
                  <a16:creationId xmlns:a16="http://schemas.microsoft.com/office/drawing/2014/main" id="{00000000-0008-0000-0100-0000D643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Send us a Rebate Check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20</xdr:row>
          <xdr:rowOff>171450</xdr:rowOff>
        </xdr:from>
        <xdr:to>
          <xdr:col>11</xdr:col>
          <xdr:colOff>762000</xdr:colOff>
          <xdr:row>23</xdr:row>
          <xdr:rowOff>76200</xdr:rowOff>
        </xdr:to>
        <xdr:sp macro="" textlink="">
          <xdr:nvSpPr>
            <xdr:cNvPr id="541655" name="Group Box 983" hidden="1">
              <a:extLst>
                <a:ext uri="{63B3BB69-23CF-44E3-9099-C40C66FF867C}">
                  <a14:compatExt spid="_x0000_s541655"/>
                </a:ext>
                <a:ext uri="{FF2B5EF4-FFF2-40B4-BE49-F238E27FC236}">
                  <a16:creationId xmlns:a16="http://schemas.microsoft.com/office/drawing/2014/main" id="{00000000-0008-0000-0100-0000D74308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Tahoma"/>
                  <a:ea typeface="Tahoma"/>
                  <a:cs typeface="Tahoma"/>
                </a:rPr>
                <a:t>Type of Business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24</xdr:row>
          <xdr:rowOff>0</xdr:rowOff>
        </xdr:from>
        <xdr:to>
          <xdr:col>11</xdr:col>
          <xdr:colOff>771525</xdr:colOff>
          <xdr:row>28</xdr:row>
          <xdr:rowOff>38100</xdr:rowOff>
        </xdr:to>
        <xdr:sp macro="" textlink="">
          <xdr:nvSpPr>
            <xdr:cNvPr id="541656" name="Group Box 984" hidden="1">
              <a:extLst>
                <a:ext uri="{63B3BB69-23CF-44E3-9099-C40C66FF867C}">
                  <a14:compatExt spid="_x0000_s541656"/>
                </a:ext>
                <a:ext uri="{FF2B5EF4-FFF2-40B4-BE49-F238E27FC236}">
                  <a16:creationId xmlns:a16="http://schemas.microsoft.com/office/drawing/2014/main" id="{00000000-0008-0000-0100-0000D84308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Tahoma"/>
                  <a:ea typeface="Tahoma"/>
                  <a:cs typeface="Tahoma"/>
                </a:rPr>
                <a:t>How did you hear about CONSERVE &amp; SAVE?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26</xdr:row>
          <xdr:rowOff>0</xdr:rowOff>
        </xdr:from>
        <xdr:to>
          <xdr:col>3</xdr:col>
          <xdr:colOff>257175</xdr:colOff>
          <xdr:row>27</xdr:row>
          <xdr:rowOff>19050</xdr:rowOff>
        </xdr:to>
        <xdr:sp macro="" textlink="">
          <xdr:nvSpPr>
            <xdr:cNvPr id="541657" name="Option Button 985" hidden="1">
              <a:extLst>
                <a:ext uri="{63B3BB69-23CF-44E3-9099-C40C66FF867C}">
                  <a14:compatExt spid="_x0000_s541657"/>
                </a:ext>
                <a:ext uri="{FF2B5EF4-FFF2-40B4-BE49-F238E27FC236}">
                  <a16:creationId xmlns:a16="http://schemas.microsoft.com/office/drawing/2014/main" id="{00000000-0008-0000-0100-0000D943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Billboard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561975</xdr:colOff>
          <xdr:row>26</xdr:row>
          <xdr:rowOff>0</xdr:rowOff>
        </xdr:from>
        <xdr:to>
          <xdr:col>4</xdr:col>
          <xdr:colOff>600075</xdr:colOff>
          <xdr:row>27</xdr:row>
          <xdr:rowOff>28575</xdr:rowOff>
        </xdr:to>
        <xdr:sp macro="" textlink="">
          <xdr:nvSpPr>
            <xdr:cNvPr id="541658" name="Option Button 986" hidden="1">
              <a:extLst>
                <a:ext uri="{63B3BB69-23CF-44E3-9099-C40C66FF867C}">
                  <a14:compatExt spid="_x0000_s541658"/>
                </a:ext>
                <a:ext uri="{FF2B5EF4-FFF2-40B4-BE49-F238E27FC236}">
                  <a16:creationId xmlns:a16="http://schemas.microsoft.com/office/drawing/2014/main" id="{00000000-0008-0000-0100-0000DA43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Chamber of Commerce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26</xdr:row>
          <xdr:rowOff>0</xdr:rowOff>
        </xdr:from>
        <xdr:to>
          <xdr:col>6</xdr:col>
          <xdr:colOff>104775</xdr:colOff>
          <xdr:row>27</xdr:row>
          <xdr:rowOff>28575</xdr:rowOff>
        </xdr:to>
        <xdr:sp macro="" textlink="">
          <xdr:nvSpPr>
            <xdr:cNvPr id="541659" name="Option Button 987" hidden="1">
              <a:extLst>
                <a:ext uri="{63B3BB69-23CF-44E3-9099-C40C66FF867C}">
                  <a14:compatExt spid="_x0000_s541659"/>
                </a:ext>
                <a:ext uri="{FF2B5EF4-FFF2-40B4-BE49-F238E27FC236}">
                  <a16:creationId xmlns:a16="http://schemas.microsoft.com/office/drawing/2014/main" id="{00000000-0008-0000-0100-0000DB43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Contractor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26</xdr:row>
          <xdr:rowOff>0</xdr:rowOff>
        </xdr:from>
        <xdr:to>
          <xdr:col>7</xdr:col>
          <xdr:colOff>571500</xdr:colOff>
          <xdr:row>27</xdr:row>
          <xdr:rowOff>19050</xdr:rowOff>
        </xdr:to>
        <xdr:sp macro="" textlink="">
          <xdr:nvSpPr>
            <xdr:cNvPr id="541660" name="Option Button 988" hidden="1">
              <a:extLst>
                <a:ext uri="{63B3BB69-23CF-44E3-9099-C40C66FF867C}">
                  <a14:compatExt spid="_x0000_s541660"/>
                </a:ext>
                <a:ext uri="{FF2B5EF4-FFF2-40B4-BE49-F238E27FC236}">
                  <a16:creationId xmlns:a16="http://schemas.microsoft.com/office/drawing/2014/main" id="{00000000-0008-0000-0100-0000DC43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Newspaper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390525</xdr:colOff>
          <xdr:row>26</xdr:row>
          <xdr:rowOff>0</xdr:rowOff>
        </xdr:from>
        <xdr:to>
          <xdr:col>9</xdr:col>
          <xdr:colOff>228600</xdr:colOff>
          <xdr:row>27</xdr:row>
          <xdr:rowOff>19050</xdr:rowOff>
        </xdr:to>
        <xdr:sp macro="" textlink="">
          <xdr:nvSpPr>
            <xdr:cNvPr id="541661" name="Option Button 989" hidden="1">
              <a:extLst>
                <a:ext uri="{63B3BB69-23CF-44E3-9099-C40C66FF867C}">
                  <a14:compatExt spid="_x0000_s541661"/>
                </a:ext>
                <a:ext uri="{FF2B5EF4-FFF2-40B4-BE49-F238E27FC236}">
                  <a16:creationId xmlns:a16="http://schemas.microsoft.com/office/drawing/2014/main" id="{00000000-0008-0000-0100-0000DD43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Radio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466725</xdr:colOff>
          <xdr:row>26</xdr:row>
          <xdr:rowOff>0</xdr:rowOff>
        </xdr:from>
        <xdr:to>
          <xdr:col>10</xdr:col>
          <xdr:colOff>200025</xdr:colOff>
          <xdr:row>27</xdr:row>
          <xdr:rowOff>19050</xdr:rowOff>
        </xdr:to>
        <xdr:sp macro="" textlink="">
          <xdr:nvSpPr>
            <xdr:cNvPr id="541662" name="Option Button 990" hidden="1">
              <a:extLst>
                <a:ext uri="{63B3BB69-23CF-44E3-9099-C40C66FF867C}">
                  <a14:compatExt spid="_x0000_s541662"/>
                </a:ext>
                <a:ext uri="{FF2B5EF4-FFF2-40B4-BE49-F238E27FC236}">
                  <a16:creationId xmlns:a16="http://schemas.microsoft.com/office/drawing/2014/main" id="{00000000-0008-0000-0100-0000DE43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9525</xdr:rowOff>
        </xdr:from>
        <xdr:to>
          <xdr:col>2</xdr:col>
          <xdr:colOff>352425</xdr:colOff>
          <xdr:row>28</xdr:row>
          <xdr:rowOff>9525</xdr:rowOff>
        </xdr:to>
        <xdr:sp macro="" textlink="">
          <xdr:nvSpPr>
            <xdr:cNvPr id="541663" name="Option Button 991" hidden="1">
              <a:extLst>
                <a:ext uri="{63B3BB69-23CF-44E3-9099-C40C66FF867C}">
                  <a14:compatExt spid="_x0000_s541663"/>
                </a:ext>
                <a:ext uri="{FF2B5EF4-FFF2-40B4-BE49-F238E27FC236}">
                  <a16:creationId xmlns:a16="http://schemas.microsoft.com/office/drawing/2014/main" id="{00000000-0008-0000-0100-0000DF43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Retailer/Vendor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27</xdr:row>
          <xdr:rowOff>9525</xdr:rowOff>
        </xdr:from>
        <xdr:to>
          <xdr:col>4</xdr:col>
          <xdr:colOff>76200</xdr:colOff>
          <xdr:row>28</xdr:row>
          <xdr:rowOff>9525</xdr:rowOff>
        </xdr:to>
        <xdr:sp macro="" textlink="">
          <xdr:nvSpPr>
            <xdr:cNvPr id="541664" name="Option Button 992" hidden="1">
              <a:extLst>
                <a:ext uri="{63B3BB69-23CF-44E3-9099-C40C66FF867C}">
                  <a14:compatExt spid="_x0000_s541664"/>
                </a:ext>
                <a:ext uri="{FF2B5EF4-FFF2-40B4-BE49-F238E27FC236}">
                  <a16:creationId xmlns:a16="http://schemas.microsoft.com/office/drawing/2014/main" id="{00000000-0008-0000-0100-0000E043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Social Media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27</xdr:row>
          <xdr:rowOff>9525</xdr:rowOff>
        </xdr:from>
        <xdr:to>
          <xdr:col>5</xdr:col>
          <xdr:colOff>276225</xdr:colOff>
          <xdr:row>28</xdr:row>
          <xdr:rowOff>9525</xdr:rowOff>
        </xdr:to>
        <xdr:sp macro="" textlink="">
          <xdr:nvSpPr>
            <xdr:cNvPr id="541665" name="Option Button 993" hidden="1">
              <a:extLst>
                <a:ext uri="{63B3BB69-23CF-44E3-9099-C40C66FF867C}">
                  <a14:compatExt spid="_x0000_s541665"/>
                </a:ext>
                <a:ext uri="{FF2B5EF4-FFF2-40B4-BE49-F238E27FC236}">
                  <a16:creationId xmlns:a16="http://schemas.microsoft.com/office/drawing/2014/main" id="{00000000-0008-0000-0100-0000E143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Utility Newsletter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27</xdr:row>
          <xdr:rowOff>9525</xdr:rowOff>
        </xdr:from>
        <xdr:to>
          <xdr:col>6</xdr:col>
          <xdr:colOff>495300</xdr:colOff>
          <xdr:row>28</xdr:row>
          <xdr:rowOff>9525</xdr:rowOff>
        </xdr:to>
        <xdr:sp macro="" textlink="">
          <xdr:nvSpPr>
            <xdr:cNvPr id="541666" name="Option Button 994" hidden="1">
              <a:extLst>
                <a:ext uri="{63B3BB69-23CF-44E3-9099-C40C66FF867C}">
                  <a14:compatExt spid="_x0000_s541666"/>
                </a:ext>
                <a:ext uri="{FF2B5EF4-FFF2-40B4-BE49-F238E27FC236}">
                  <a16:creationId xmlns:a16="http://schemas.microsoft.com/office/drawing/2014/main" id="{00000000-0008-0000-0100-0000E243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Utility Web Site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466725</xdr:colOff>
          <xdr:row>27</xdr:row>
          <xdr:rowOff>9525</xdr:rowOff>
        </xdr:from>
        <xdr:to>
          <xdr:col>10</xdr:col>
          <xdr:colOff>200025</xdr:colOff>
          <xdr:row>28</xdr:row>
          <xdr:rowOff>9525</xdr:rowOff>
        </xdr:to>
        <xdr:sp macro="" textlink="">
          <xdr:nvSpPr>
            <xdr:cNvPr id="541667" name="Option Button 995" hidden="1">
              <a:extLst>
                <a:ext uri="{63B3BB69-23CF-44E3-9099-C40C66FF867C}">
                  <a14:compatExt spid="_x0000_s541667"/>
                </a:ext>
                <a:ext uri="{FF2B5EF4-FFF2-40B4-BE49-F238E27FC236}">
                  <a16:creationId xmlns:a16="http://schemas.microsoft.com/office/drawing/2014/main" id="{00000000-0008-0000-0100-0000E343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&gt;&gt;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466725</xdr:colOff>
          <xdr:row>27</xdr:row>
          <xdr:rowOff>0</xdr:rowOff>
        </xdr:from>
        <xdr:to>
          <xdr:col>8</xdr:col>
          <xdr:colOff>533400</xdr:colOff>
          <xdr:row>28</xdr:row>
          <xdr:rowOff>9525</xdr:rowOff>
        </xdr:to>
        <xdr:sp macro="" textlink="">
          <xdr:nvSpPr>
            <xdr:cNvPr id="541668" name="Option Button 996" hidden="1">
              <a:extLst>
                <a:ext uri="{63B3BB69-23CF-44E3-9099-C40C66FF867C}">
                  <a14:compatExt spid="_x0000_s541668"/>
                </a:ext>
                <a:ext uri="{FF2B5EF4-FFF2-40B4-BE49-F238E27FC236}">
                  <a16:creationId xmlns:a16="http://schemas.microsoft.com/office/drawing/2014/main" id="{00000000-0008-0000-0100-0000E443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Utility Representative</a:t>
              </a:r>
            </a:p>
          </xdr:txBody>
        </xdr:sp>
        <xdr:clientData/>
      </xdr:twoCellAnchor>
    </mc:Choice>
    <mc:Fallback/>
  </mc:AlternateContent>
  <xdr:twoCellAnchor editAs="oneCell">
    <xdr:from>
      <xdr:col>0</xdr:col>
      <xdr:colOff>0</xdr:colOff>
      <xdr:row>0</xdr:row>
      <xdr:rowOff>0</xdr:rowOff>
    </xdr:from>
    <xdr:to>
      <xdr:col>11</xdr:col>
      <xdr:colOff>804058</xdr:colOff>
      <xdr:row>5</xdr:row>
      <xdr:rowOff>0</xdr:rowOff>
    </xdr:to>
    <xdr:pic>
      <xdr:nvPicPr>
        <xdr:cNvPr id="62" name="Picture 4">
          <a:extLst>
            <a:ext uri="{FF2B5EF4-FFF2-40B4-BE49-F238E27FC236}">
              <a16:creationId xmlns:a16="http://schemas.microsoft.com/office/drawing/2014/main" id="{00000000-0008-0000-01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433458"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60</xdr:row>
      <xdr:rowOff>8313</xdr:rowOff>
    </xdr:from>
    <xdr:to>
      <xdr:col>12</xdr:col>
      <xdr:colOff>20691</xdr:colOff>
      <xdr:row>68</xdr:row>
      <xdr:rowOff>99753</xdr:rowOff>
    </xdr:to>
    <xdr:pic>
      <xdr:nvPicPr>
        <xdr:cNvPr id="61" name="Picture 4">
          <a:extLst>
            <a:ext uri="{FF2B5EF4-FFF2-40B4-BE49-F238E27FC236}">
              <a16:creationId xmlns:a16="http://schemas.microsoft.com/office/drawing/2014/main" id="{00000000-0008-0000-0100-00003D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43913" t="1599" r="476" b="1776"/>
        <a:stretch/>
      </xdr:blipFill>
      <xdr:spPr bwMode="auto">
        <a:xfrm>
          <a:off x="3476625" y="9257088"/>
          <a:ext cx="4030716" cy="1615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113538</xdr:colOff>
      <xdr:row>60</xdr:row>
      <xdr:rowOff>19050</xdr:rowOff>
    </xdr:from>
    <xdr:to>
      <xdr:col>5</xdr:col>
      <xdr:colOff>543687</xdr:colOff>
      <xdr:row>68</xdr:row>
      <xdr:rowOff>95250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13538" y="9267825"/>
          <a:ext cx="3087624" cy="1600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3</xdr:row>
          <xdr:rowOff>0</xdr:rowOff>
        </xdr:from>
        <xdr:to>
          <xdr:col>3</xdr:col>
          <xdr:colOff>0</xdr:colOff>
          <xdr:row>4</xdr:row>
          <xdr:rowOff>76200</xdr:rowOff>
        </xdr:to>
        <xdr:sp macro="" textlink="">
          <xdr:nvSpPr>
            <xdr:cNvPr id="3221" name="Option Button 149" hidden="1">
              <a:extLst>
                <a:ext uri="{63B3BB69-23CF-44E3-9099-C40C66FF867C}">
                  <a14:compatExt spid="_x0000_s3221"/>
                </a:ext>
                <a:ext uri="{FF2B5EF4-FFF2-40B4-BE49-F238E27FC236}">
                  <a16:creationId xmlns:a16="http://schemas.microsoft.com/office/drawing/2014/main" id="{00000000-0008-0000-0200-00009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xdr:row>
          <xdr:rowOff>104775</xdr:rowOff>
        </xdr:from>
        <xdr:to>
          <xdr:col>3</xdr:col>
          <xdr:colOff>0</xdr:colOff>
          <xdr:row>5</xdr:row>
          <xdr:rowOff>38100</xdr:rowOff>
        </xdr:to>
        <xdr:sp macro="" textlink="">
          <xdr:nvSpPr>
            <xdr:cNvPr id="3222" name="Option Button 150" hidden="1">
              <a:extLst>
                <a:ext uri="{63B3BB69-23CF-44E3-9099-C40C66FF867C}">
                  <a14:compatExt spid="_x0000_s3222"/>
                </a:ext>
                <a:ext uri="{FF2B5EF4-FFF2-40B4-BE49-F238E27FC236}">
                  <a16:creationId xmlns:a16="http://schemas.microsoft.com/office/drawing/2014/main" id="{00000000-0008-0000-0200-00009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xdr:row>
          <xdr:rowOff>257175</xdr:rowOff>
        </xdr:from>
        <xdr:to>
          <xdr:col>6</xdr:col>
          <xdr:colOff>361950</xdr:colOff>
          <xdr:row>6</xdr:row>
          <xdr:rowOff>0</xdr:rowOff>
        </xdr:to>
        <xdr:sp macro="" textlink="">
          <xdr:nvSpPr>
            <xdr:cNvPr id="3231" name="Option Button 159" hidden="1">
              <a:extLst>
                <a:ext uri="{63B3BB69-23CF-44E3-9099-C40C66FF867C}">
                  <a14:compatExt spid="_x0000_s3231"/>
                </a:ext>
                <a:ext uri="{FF2B5EF4-FFF2-40B4-BE49-F238E27FC236}">
                  <a16:creationId xmlns:a16="http://schemas.microsoft.com/office/drawing/2014/main" id="{00000000-0008-0000-0200-00009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xdr:row>
          <xdr:rowOff>171450</xdr:rowOff>
        </xdr:from>
        <xdr:to>
          <xdr:col>6</xdr:col>
          <xdr:colOff>361950</xdr:colOff>
          <xdr:row>6</xdr:row>
          <xdr:rowOff>190500</xdr:rowOff>
        </xdr:to>
        <xdr:sp macro="" textlink="">
          <xdr:nvSpPr>
            <xdr:cNvPr id="3232" name="Option Button 160" hidden="1">
              <a:extLst>
                <a:ext uri="{63B3BB69-23CF-44E3-9099-C40C66FF867C}">
                  <a14:compatExt spid="_x0000_s3232"/>
                </a:ext>
                <a:ext uri="{FF2B5EF4-FFF2-40B4-BE49-F238E27FC236}">
                  <a16:creationId xmlns:a16="http://schemas.microsoft.com/office/drawing/2014/main" id="{00000000-0008-0000-0200-0000A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3</xdr:row>
          <xdr:rowOff>0</xdr:rowOff>
        </xdr:from>
        <xdr:to>
          <xdr:col>3</xdr:col>
          <xdr:colOff>0</xdr:colOff>
          <xdr:row>4</xdr:row>
          <xdr:rowOff>57150</xdr:rowOff>
        </xdr:to>
        <xdr:sp macro="" textlink="">
          <xdr:nvSpPr>
            <xdr:cNvPr id="787457" name="Option Button 1" hidden="1">
              <a:extLst>
                <a:ext uri="{63B3BB69-23CF-44E3-9099-C40C66FF867C}">
                  <a14:compatExt spid="_x0000_s787457"/>
                </a:ext>
                <a:ext uri="{FF2B5EF4-FFF2-40B4-BE49-F238E27FC236}">
                  <a16:creationId xmlns:a16="http://schemas.microsoft.com/office/drawing/2014/main" id="{00000000-0008-0000-0300-000001040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xdr:row>
          <xdr:rowOff>104775</xdr:rowOff>
        </xdr:from>
        <xdr:to>
          <xdr:col>3</xdr:col>
          <xdr:colOff>0</xdr:colOff>
          <xdr:row>5</xdr:row>
          <xdr:rowOff>9525</xdr:rowOff>
        </xdr:to>
        <xdr:sp macro="" textlink="">
          <xdr:nvSpPr>
            <xdr:cNvPr id="787458" name="Option Button 2" hidden="1">
              <a:extLst>
                <a:ext uri="{63B3BB69-23CF-44E3-9099-C40C66FF867C}">
                  <a14:compatExt spid="_x0000_s787458"/>
                </a:ext>
                <a:ext uri="{FF2B5EF4-FFF2-40B4-BE49-F238E27FC236}">
                  <a16:creationId xmlns:a16="http://schemas.microsoft.com/office/drawing/2014/main" id="{00000000-0008-0000-0300-000002040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xdr:row>
          <xdr:rowOff>257175</xdr:rowOff>
        </xdr:from>
        <xdr:to>
          <xdr:col>6</xdr:col>
          <xdr:colOff>361950</xdr:colOff>
          <xdr:row>6</xdr:row>
          <xdr:rowOff>0</xdr:rowOff>
        </xdr:to>
        <xdr:sp macro="" textlink="">
          <xdr:nvSpPr>
            <xdr:cNvPr id="787459" name="Option Button 3" hidden="1">
              <a:extLst>
                <a:ext uri="{63B3BB69-23CF-44E3-9099-C40C66FF867C}">
                  <a14:compatExt spid="_x0000_s787459"/>
                </a:ext>
                <a:ext uri="{FF2B5EF4-FFF2-40B4-BE49-F238E27FC236}">
                  <a16:creationId xmlns:a16="http://schemas.microsoft.com/office/drawing/2014/main" id="{00000000-0008-0000-0300-000003040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xdr:row>
          <xdr:rowOff>171450</xdr:rowOff>
        </xdr:from>
        <xdr:to>
          <xdr:col>6</xdr:col>
          <xdr:colOff>361950</xdr:colOff>
          <xdr:row>6</xdr:row>
          <xdr:rowOff>190500</xdr:rowOff>
        </xdr:to>
        <xdr:sp macro="" textlink="">
          <xdr:nvSpPr>
            <xdr:cNvPr id="787460" name="Option Button 4" hidden="1">
              <a:extLst>
                <a:ext uri="{63B3BB69-23CF-44E3-9099-C40C66FF867C}">
                  <a14:compatExt spid="_x0000_s787460"/>
                </a:ext>
                <a:ext uri="{FF2B5EF4-FFF2-40B4-BE49-F238E27FC236}">
                  <a16:creationId xmlns:a16="http://schemas.microsoft.com/office/drawing/2014/main" id="{00000000-0008-0000-0300-000004040C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1</xdr:row>
          <xdr:rowOff>257175</xdr:rowOff>
        </xdr:from>
        <xdr:to>
          <xdr:col>2</xdr:col>
          <xdr:colOff>361950</xdr:colOff>
          <xdr:row>3</xdr:row>
          <xdr:rowOff>0</xdr:rowOff>
        </xdr:to>
        <xdr:sp macro="" textlink="">
          <xdr:nvSpPr>
            <xdr:cNvPr id="658433" name="Option Button 1" hidden="1">
              <a:extLst>
                <a:ext uri="{63B3BB69-23CF-44E3-9099-C40C66FF867C}">
                  <a14:compatExt spid="_x0000_s658433"/>
                </a:ext>
                <a:ext uri="{FF2B5EF4-FFF2-40B4-BE49-F238E27FC236}">
                  <a16:creationId xmlns:a16="http://schemas.microsoft.com/office/drawing/2014/main" id="{00000000-0008-0000-0400-0000010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xdr:row>
          <xdr:rowOff>171450</xdr:rowOff>
        </xdr:from>
        <xdr:to>
          <xdr:col>2</xdr:col>
          <xdr:colOff>361950</xdr:colOff>
          <xdr:row>4</xdr:row>
          <xdr:rowOff>28575</xdr:rowOff>
        </xdr:to>
        <xdr:sp macro="" textlink="">
          <xdr:nvSpPr>
            <xdr:cNvPr id="658434" name="Option Button 2" hidden="1">
              <a:extLst>
                <a:ext uri="{63B3BB69-23CF-44E3-9099-C40C66FF867C}">
                  <a14:compatExt spid="_x0000_s658434"/>
                </a:ext>
                <a:ext uri="{FF2B5EF4-FFF2-40B4-BE49-F238E27FC236}">
                  <a16:creationId xmlns:a16="http://schemas.microsoft.com/office/drawing/2014/main" id="{00000000-0008-0000-0400-0000020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xdr:row>
          <xdr:rowOff>257175</xdr:rowOff>
        </xdr:from>
        <xdr:to>
          <xdr:col>4</xdr:col>
          <xdr:colOff>361950</xdr:colOff>
          <xdr:row>5</xdr:row>
          <xdr:rowOff>0</xdr:rowOff>
        </xdr:to>
        <xdr:sp macro="" textlink="">
          <xdr:nvSpPr>
            <xdr:cNvPr id="658447" name="Option Button 15" hidden="1">
              <a:extLst>
                <a:ext uri="{63B3BB69-23CF-44E3-9099-C40C66FF867C}">
                  <a14:compatExt spid="_x0000_s658447"/>
                </a:ext>
                <a:ext uri="{FF2B5EF4-FFF2-40B4-BE49-F238E27FC236}">
                  <a16:creationId xmlns:a16="http://schemas.microsoft.com/office/drawing/2014/main" id="{00000000-0008-0000-0400-00000F0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xdr:row>
          <xdr:rowOff>171450</xdr:rowOff>
        </xdr:from>
        <xdr:to>
          <xdr:col>4</xdr:col>
          <xdr:colOff>361950</xdr:colOff>
          <xdr:row>5</xdr:row>
          <xdr:rowOff>190500</xdr:rowOff>
        </xdr:to>
        <xdr:sp macro="" textlink="">
          <xdr:nvSpPr>
            <xdr:cNvPr id="658448" name="Option Button 16" hidden="1">
              <a:extLst>
                <a:ext uri="{63B3BB69-23CF-44E3-9099-C40C66FF867C}">
                  <a14:compatExt spid="_x0000_s658448"/>
                </a:ext>
                <a:ext uri="{FF2B5EF4-FFF2-40B4-BE49-F238E27FC236}">
                  <a16:creationId xmlns:a16="http://schemas.microsoft.com/office/drawing/2014/main" id="{00000000-0008-0000-0400-0000100C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1</xdr:row>
          <xdr:rowOff>257175</xdr:rowOff>
        </xdr:from>
        <xdr:to>
          <xdr:col>2</xdr:col>
          <xdr:colOff>361950</xdr:colOff>
          <xdr:row>3</xdr:row>
          <xdr:rowOff>0</xdr:rowOff>
        </xdr:to>
        <xdr:sp macro="" textlink="">
          <xdr:nvSpPr>
            <xdr:cNvPr id="777217" name="Option Button 1" hidden="1">
              <a:extLst>
                <a:ext uri="{63B3BB69-23CF-44E3-9099-C40C66FF867C}">
                  <a14:compatExt spid="_x0000_s777217"/>
                </a:ext>
                <a:ext uri="{FF2B5EF4-FFF2-40B4-BE49-F238E27FC236}">
                  <a16:creationId xmlns:a16="http://schemas.microsoft.com/office/drawing/2014/main" id="{00000000-0008-0000-0500-000001DC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xdr:row>
          <xdr:rowOff>171450</xdr:rowOff>
        </xdr:from>
        <xdr:to>
          <xdr:col>2</xdr:col>
          <xdr:colOff>361950</xdr:colOff>
          <xdr:row>4</xdr:row>
          <xdr:rowOff>28575</xdr:rowOff>
        </xdr:to>
        <xdr:sp macro="" textlink="">
          <xdr:nvSpPr>
            <xdr:cNvPr id="777218" name="Option Button 2" hidden="1">
              <a:extLst>
                <a:ext uri="{63B3BB69-23CF-44E3-9099-C40C66FF867C}">
                  <a14:compatExt spid="_x0000_s777218"/>
                </a:ext>
                <a:ext uri="{FF2B5EF4-FFF2-40B4-BE49-F238E27FC236}">
                  <a16:creationId xmlns:a16="http://schemas.microsoft.com/office/drawing/2014/main" id="{00000000-0008-0000-0500-000002DC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xdr:row>
          <xdr:rowOff>257175</xdr:rowOff>
        </xdr:from>
        <xdr:to>
          <xdr:col>6</xdr:col>
          <xdr:colOff>361950</xdr:colOff>
          <xdr:row>5</xdr:row>
          <xdr:rowOff>0</xdr:rowOff>
        </xdr:to>
        <xdr:sp macro="" textlink="">
          <xdr:nvSpPr>
            <xdr:cNvPr id="777231" name="Option Button 15" hidden="1">
              <a:extLst>
                <a:ext uri="{63B3BB69-23CF-44E3-9099-C40C66FF867C}">
                  <a14:compatExt spid="_x0000_s777231"/>
                </a:ext>
                <a:ext uri="{FF2B5EF4-FFF2-40B4-BE49-F238E27FC236}">
                  <a16:creationId xmlns:a16="http://schemas.microsoft.com/office/drawing/2014/main" id="{00000000-0008-0000-0500-00000FDC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xdr:row>
          <xdr:rowOff>171450</xdr:rowOff>
        </xdr:from>
        <xdr:to>
          <xdr:col>6</xdr:col>
          <xdr:colOff>361950</xdr:colOff>
          <xdr:row>5</xdr:row>
          <xdr:rowOff>190500</xdr:rowOff>
        </xdr:to>
        <xdr:sp macro="" textlink="">
          <xdr:nvSpPr>
            <xdr:cNvPr id="777232" name="Option Button 16" hidden="1">
              <a:extLst>
                <a:ext uri="{63B3BB69-23CF-44E3-9099-C40C66FF867C}">
                  <a14:compatExt spid="_x0000_s777232"/>
                </a:ext>
                <a:ext uri="{FF2B5EF4-FFF2-40B4-BE49-F238E27FC236}">
                  <a16:creationId xmlns:a16="http://schemas.microsoft.com/office/drawing/2014/main" id="{00000000-0008-0000-0500-000010DC0B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2</xdr:row>
          <xdr:rowOff>0</xdr:rowOff>
        </xdr:from>
        <xdr:to>
          <xdr:col>2</xdr:col>
          <xdr:colOff>342900</xdr:colOff>
          <xdr:row>3</xdr:row>
          <xdr:rowOff>0</xdr:rowOff>
        </xdr:to>
        <xdr:sp macro="" textlink="">
          <xdr:nvSpPr>
            <xdr:cNvPr id="2271" name="Option Button 223" hidden="1">
              <a:extLst>
                <a:ext uri="{63B3BB69-23CF-44E3-9099-C40C66FF867C}">
                  <a14:compatExt spid="_x0000_s2271"/>
                </a:ext>
                <a:ext uri="{FF2B5EF4-FFF2-40B4-BE49-F238E27FC236}">
                  <a16:creationId xmlns:a16="http://schemas.microsoft.com/office/drawing/2014/main" id="{00000000-0008-0000-0700-0000D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xdr:row>
          <xdr:rowOff>180975</xdr:rowOff>
        </xdr:from>
        <xdr:to>
          <xdr:col>2</xdr:col>
          <xdr:colOff>342900</xdr:colOff>
          <xdr:row>4</xdr:row>
          <xdr:rowOff>38100</xdr:rowOff>
        </xdr:to>
        <xdr:sp macro="" textlink="">
          <xdr:nvSpPr>
            <xdr:cNvPr id="2272" name="Option Button 224" hidden="1">
              <a:extLst>
                <a:ext uri="{63B3BB69-23CF-44E3-9099-C40C66FF867C}">
                  <a14:compatExt spid="_x0000_s2272"/>
                </a:ext>
                <a:ext uri="{FF2B5EF4-FFF2-40B4-BE49-F238E27FC236}">
                  <a16:creationId xmlns:a16="http://schemas.microsoft.com/office/drawing/2014/main" id="{00000000-0008-0000-0700-0000E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xdr:col>
      <xdr:colOff>104775</xdr:colOff>
      <xdr:row>22</xdr:row>
      <xdr:rowOff>9525</xdr:rowOff>
    </xdr:from>
    <xdr:to>
      <xdr:col>4</xdr:col>
      <xdr:colOff>95250</xdr:colOff>
      <xdr:row>23</xdr:row>
      <xdr:rowOff>2133600</xdr:rowOff>
    </xdr:to>
    <xdr:graphicFrame macro="">
      <xdr:nvGraphicFramePr>
        <xdr:cNvPr id="786054" name="Chart 1">
          <a:extLst>
            <a:ext uri="{FF2B5EF4-FFF2-40B4-BE49-F238E27FC236}">
              <a16:creationId xmlns:a16="http://schemas.microsoft.com/office/drawing/2014/main" id="{00000000-0008-0000-0B00-000086FE0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257175</xdr:colOff>
      <xdr:row>22</xdr:row>
      <xdr:rowOff>0</xdr:rowOff>
    </xdr:from>
    <xdr:to>
      <xdr:col>8</xdr:col>
      <xdr:colOff>314325</xdr:colOff>
      <xdr:row>23</xdr:row>
      <xdr:rowOff>2114550</xdr:rowOff>
    </xdr:to>
    <xdr:graphicFrame macro="">
      <xdr:nvGraphicFramePr>
        <xdr:cNvPr id="786055" name="Chart 2">
          <a:extLst>
            <a:ext uri="{FF2B5EF4-FFF2-40B4-BE49-F238E27FC236}">
              <a16:creationId xmlns:a16="http://schemas.microsoft.com/office/drawing/2014/main" id="{00000000-0008-0000-0B00-000087FE0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38101</xdr:colOff>
      <xdr:row>0</xdr:row>
      <xdr:rowOff>28575</xdr:rowOff>
    </xdr:from>
    <xdr:to>
      <xdr:col>9</xdr:col>
      <xdr:colOff>587376</xdr:colOff>
      <xdr:row>2</xdr:row>
      <xdr:rowOff>49567</xdr:rowOff>
    </xdr:to>
    <xdr:sp macro="" textlink="">
      <xdr:nvSpPr>
        <xdr:cNvPr id="4" name="Text Box 3">
          <a:extLst>
            <a:ext uri="{FF2B5EF4-FFF2-40B4-BE49-F238E27FC236}">
              <a16:creationId xmlns:a16="http://schemas.microsoft.com/office/drawing/2014/main" id="{00000000-0008-0000-0B00-000004000000}"/>
            </a:ext>
          </a:extLst>
        </xdr:cNvPr>
        <xdr:cNvSpPr txBox="1">
          <a:spLocks noChangeArrowheads="1"/>
        </xdr:cNvSpPr>
      </xdr:nvSpPr>
      <xdr:spPr bwMode="auto">
        <a:xfrm>
          <a:off x="244476" y="28575"/>
          <a:ext cx="7835900" cy="401992"/>
        </a:xfrm>
        <a:prstGeom prst="rect">
          <a:avLst/>
        </a:prstGeom>
        <a:solidFill>
          <a:srgbClr val="C0C0C0"/>
        </a:solidFill>
        <a:ln w="9525">
          <a:solidFill>
            <a:srgbClr val="000000"/>
          </a:solidFill>
          <a:miter lim="800000"/>
          <a:headEnd/>
          <a:tailEnd/>
        </a:ln>
      </xdr:spPr>
      <xdr:txBody>
        <a:bodyPr vertOverflow="clip" wrap="square" lIns="45720" tIns="45720" rIns="45720" bIns="45720" anchor="ctr" upright="1"/>
        <a:lstStyle/>
        <a:p>
          <a:pPr algn="ctr" rtl="0">
            <a:defRPr sz="1000"/>
          </a:pPr>
          <a:r>
            <a:rPr lang="en-US" sz="1400" b="0" i="0" strike="noStrike">
              <a:solidFill>
                <a:srgbClr val="000000"/>
              </a:solidFill>
              <a:latin typeface="Arial Black"/>
            </a:rPr>
            <a:t>COOLING</a:t>
          </a:r>
          <a:r>
            <a:rPr lang="en-US" sz="1400" b="0" i="0" strike="noStrike" baseline="0">
              <a:solidFill>
                <a:srgbClr val="000000"/>
              </a:solidFill>
              <a:latin typeface="Arial Black"/>
            </a:rPr>
            <a:t> </a:t>
          </a:r>
          <a:r>
            <a:rPr lang="en-US" sz="1400" b="0" i="0" strike="noStrike">
              <a:solidFill>
                <a:srgbClr val="000000"/>
              </a:solidFill>
              <a:latin typeface="Arial Black"/>
            </a:rPr>
            <a:t>UPGRADE - FINANCIAL SUMMARY</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523875</xdr:colOff>
      <xdr:row>51</xdr:row>
      <xdr:rowOff>114300</xdr:rowOff>
    </xdr:to>
    <xdr:pic>
      <xdr:nvPicPr>
        <xdr:cNvPr id="3" name="Picture 2">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619875" cy="854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mailto:rebates@rpu.org" TargetMode="External"/><Relationship Id="rId2" Type="http://schemas.openxmlformats.org/officeDocument/2006/relationships/hyperlink" Target="mailto:rebates@owatonnautilities.com" TargetMode="External"/><Relationship Id="rId1" Type="http://schemas.openxmlformats.org/officeDocument/2006/relationships/hyperlink" Target="mailto:rebates@austinutilities.com" TargetMode="External"/><Relationship Id="rId4"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omments" Target="../comments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3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3.xml"/><Relationship Id="rId5" Type="http://schemas.openxmlformats.org/officeDocument/2006/relationships/ctrlProp" Target="../ctrlProps/ctrlProp32.xml"/><Relationship Id="rId4" Type="http://schemas.openxmlformats.org/officeDocument/2006/relationships/ctrlProp" Target="../ctrlProps/ctrlProp3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38.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7.xml"/><Relationship Id="rId5" Type="http://schemas.openxmlformats.org/officeDocument/2006/relationships/ctrlProp" Target="../ctrlProps/ctrlProp36.xml"/><Relationship Id="rId4" Type="http://schemas.openxmlformats.org/officeDocument/2006/relationships/ctrlProp" Target="../ctrlProps/ctrlProp35.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42.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41.xml"/><Relationship Id="rId5" Type="http://schemas.openxmlformats.org/officeDocument/2006/relationships/ctrlProp" Target="../ctrlProps/ctrlProp40.xml"/><Relationship Id="rId4" Type="http://schemas.openxmlformats.org/officeDocument/2006/relationships/ctrlProp" Target="../ctrlProps/ctrlProp39.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4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45.xml"/><Relationship Id="rId5" Type="http://schemas.openxmlformats.org/officeDocument/2006/relationships/ctrlProp" Target="../ctrlProps/ctrlProp44.xml"/><Relationship Id="rId4" Type="http://schemas.openxmlformats.org/officeDocument/2006/relationships/ctrlProp" Target="../ctrlProps/ctrlProp4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5" Type="http://schemas.openxmlformats.org/officeDocument/2006/relationships/ctrlProp" Target="../ctrlProps/ctrlProp48.xml"/><Relationship Id="rId4" Type="http://schemas.openxmlformats.org/officeDocument/2006/relationships/ctrlProp" Target="../ctrlProps/ctrlProp4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pageSetUpPr fitToPage="1"/>
  </sheetPr>
  <dimension ref="A1"/>
  <sheetViews>
    <sheetView tabSelected="1" workbookViewId="0">
      <selection activeCell="B70" sqref="B70"/>
    </sheetView>
  </sheetViews>
  <sheetFormatPr defaultColWidth="9.140625" defaultRowHeight="15" x14ac:dyDescent="0.25"/>
  <cols>
    <col min="1" max="16384" width="9.140625" style="26"/>
  </cols>
  <sheetData/>
  <printOptions horizontalCentered="1" verticalCentered="1"/>
  <pageMargins left="0.25" right="0.25" top="0.17" bottom="0.16" header="0.17" footer="0.18"/>
  <pageSetup scale="7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
    <pageSetUpPr fitToPage="1"/>
  </sheetPr>
  <dimension ref="A1:Z31"/>
  <sheetViews>
    <sheetView zoomScale="106" zoomScaleNormal="106" workbookViewId="0">
      <selection activeCell="B70" sqref="B70"/>
    </sheetView>
  </sheetViews>
  <sheetFormatPr defaultRowHeight="12.75" x14ac:dyDescent="0.2"/>
  <cols>
    <col min="1" max="1" width="18.85546875" customWidth="1"/>
    <col min="2" max="2" width="14" customWidth="1"/>
    <col min="3" max="3" width="9.28515625" customWidth="1"/>
    <col min="4" max="4" width="11" customWidth="1"/>
    <col min="5" max="5" width="10.7109375" customWidth="1"/>
    <col min="6" max="6" width="12.7109375" customWidth="1"/>
    <col min="7" max="7" width="11.85546875" customWidth="1"/>
    <col min="8" max="8" width="9.140625" customWidth="1"/>
    <col min="9" max="9" width="9.28515625" customWidth="1"/>
    <col min="10" max="10" width="10.140625" bestFit="1" customWidth="1"/>
    <col min="11" max="12" width="9.85546875" bestFit="1" customWidth="1"/>
    <col min="13" max="13" width="10.42578125" bestFit="1" customWidth="1"/>
    <col min="14" max="14" width="9.28515625" bestFit="1" customWidth="1"/>
    <col min="15" max="15" width="10.85546875" bestFit="1" customWidth="1"/>
    <col min="16" max="16" width="11.85546875" customWidth="1"/>
  </cols>
  <sheetData>
    <row r="1" spans="1:26" ht="21" thickBot="1" x14ac:dyDescent="0.25">
      <c r="A1" s="277" t="s">
        <v>219</v>
      </c>
      <c r="B1" s="278"/>
      <c r="C1" s="278"/>
      <c r="D1" s="278"/>
      <c r="E1" s="278"/>
      <c r="F1" s="278"/>
      <c r="G1" s="278"/>
      <c r="H1" s="278"/>
      <c r="I1" s="278"/>
      <c r="J1" s="278"/>
      <c r="K1" s="278"/>
      <c r="L1" s="278"/>
      <c r="M1" s="279"/>
      <c r="N1" s="1"/>
      <c r="O1" s="1"/>
      <c r="P1" s="1"/>
      <c r="U1" s="2"/>
      <c r="V1" s="2"/>
      <c r="W1" s="2"/>
      <c r="X1" s="2"/>
      <c r="Y1" s="2"/>
      <c r="Z1" s="2"/>
    </row>
    <row r="2" spans="1:26" x14ac:dyDescent="0.2">
      <c r="A2" s="14" t="s">
        <v>186</v>
      </c>
      <c r="B2" s="1">
        <f>'Customer Information'!CustomerName</f>
        <v>0</v>
      </c>
      <c r="C2" s="69"/>
      <c r="D2" s="69"/>
      <c r="E2" s="1"/>
      <c r="F2" s="1"/>
      <c r="G2" s="1"/>
      <c r="H2" s="1"/>
      <c r="I2" s="1"/>
      <c r="J2" s="163" t="s">
        <v>77</v>
      </c>
      <c r="K2" s="163" t="s">
        <v>78</v>
      </c>
      <c r="L2" s="163" t="s">
        <v>187</v>
      </c>
      <c r="N2" s="1"/>
      <c r="O2" s="1"/>
      <c r="P2" s="1"/>
    </row>
    <row r="3" spans="1:26" ht="13.7" customHeight="1" x14ac:dyDescent="0.2">
      <c r="A3" s="1"/>
      <c r="B3" s="158"/>
      <c r="C3" s="159"/>
      <c r="D3" s="160"/>
      <c r="E3" s="1"/>
      <c r="F3" s="1"/>
      <c r="G3" s="1"/>
      <c r="H3" s="1"/>
      <c r="I3" s="152" t="s">
        <v>79</v>
      </c>
      <c r="J3" s="186">
        <v>19.670000000000002</v>
      </c>
      <c r="K3" s="185">
        <v>5.9799999999999999E-2</v>
      </c>
      <c r="L3" s="164">
        <f>(J3/(0.55*720)+K3)</f>
        <v>0.10947171717171716</v>
      </c>
      <c r="N3" s="1"/>
      <c r="O3" s="1"/>
      <c r="P3" s="1"/>
    </row>
    <row r="4" spans="1:26" x14ac:dyDescent="0.2">
      <c r="A4" s="14" t="s">
        <v>185</v>
      </c>
      <c r="B4" s="1">
        <f>'Customer Information'!CustomerInstallAddress</f>
        <v>0</v>
      </c>
      <c r="C4" s="159"/>
      <c r="D4" s="160"/>
      <c r="E4" s="1"/>
      <c r="F4" s="1"/>
      <c r="G4" s="1"/>
      <c r="H4" s="1"/>
      <c r="J4" s="158"/>
      <c r="K4" s="159"/>
      <c r="L4" s="160"/>
      <c r="M4" s="167"/>
      <c r="N4" s="1"/>
      <c r="O4" s="1"/>
      <c r="P4" s="1"/>
    </row>
    <row r="5" spans="1:26" x14ac:dyDescent="0.2">
      <c r="A5" s="14" t="s">
        <v>2</v>
      </c>
      <c r="B5" s="1">
        <f>'Customer Information'!G13</f>
        <v>0</v>
      </c>
      <c r="C5" s="1"/>
      <c r="D5" s="1"/>
      <c r="E5" s="1"/>
      <c r="F5" s="1"/>
      <c r="G5" s="1"/>
      <c r="H5" s="1"/>
      <c r="I5" s="1"/>
      <c r="J5" s="1"/>
      <c r="K5" s="1"/>
      <c r="L5" s="1"/>
      <c r="M5" s="1"/>
      <c r="N5" s="1"/>
      <c r="O5" s="1"/>
      <c r="P5" s="1"/>
    </row>
    <row r="6" spans="1:26" x14ac:dyDescent="0.2">
      <c r="A6" s="138" t="s">
        <v>181</v>
      </c>
      <c r="B6" s="138"/>
      <c r="C6" s="138"/>
      <c r="D6" s="138"/>
      <c r="E6" s="138"/>
      <c r="F6" s="138"/>
      <c r="G6" s="138"/>
      <c r="H6" s="138"/>
      <c r="I6" s="138"/>
      <c r="J6" s="138"/>
      <c r="K6" s="138"/>
      <c r="L6" s="138"/>
      <c r="M6" s="138"/>
      <c r="N6" s="14"/>
      <c r="O6" s="1"/>
      <c r="P6" s="1"/>
    </row>
    <row r="7" spans="1:26" ht="9.9499999999999993" customHeight="1" thickBot="1" x14ac:dyDescent="0.25">
      <c r="A7" s="1"/>
      <c r="B7" s="766"/>
      <c r="C7" s="766"/>
      <c r="D7" s="766"/>
      <c r="E7" s="766"/>
      <c r="F7" s="766"/>
      <c r="G7" s="766"/>
      <c r="H7" s="766"/>
      <c r="I7" s="1"/>
      <c r="J7" s="1"/>
      <c r="K7" s="1"/>
      <c r="L7" s="1"/>
      <c r="M7" s="1"/>
      <c r="Q7" s="1"/>
      <c r="R7" s="1"/>
      <c r="S7" s="1"/>
      <c r="T7" s="1"/>
    </row>
    <row r="8" spans="1:26" s="1" customFormat="1" ht="13.5" thickBot="1" x14ac:dyDescent="0.25">
      <c r="A8" s="728" t="s">
        <v>123</v>
      </c>
      <c r="B8" s="729"/>
      <c r="C8" s="729"/>
      <c r="D8" s="730"/>
      <c r="E8"/>
      <c r="F8" s="723" t="s">
        <v>13</v>
      </c>
      <c r="G8" s="724"/>
      <c r="H8" s="724"/>
      <c r="I8" s="724"/>
      <c r="J8" s="725"/>
      <c r="K8" s="767" t="s">
        <v>80</v>
      </c>
      <c r="L8" s="726"/>
      <c r="M8" s="727"/>
      <c r="N8"/>
      <c r="O8"/>
      <c r="P8"/>
      <c r="Q8"/>
      <c r="R8"/>
      <c r="S8"/>
      <c r="T8"/>
    </row>
    <row r="9" spans="1:26" ht="13.5" hidden="1" thickBot="1" x14ac:dyDescent="0.25">
      <c r="A9" s="301"/>
      <c r="B9" s="70"/>
      <c r="C9" s="70"/>
      <c r="D9" s="302"/>
      <c r="F9" s="301"/>
      <c r="G9" s="151"/>
      <c r="H9" s="151"/>
      <c r="I9" s="151"/>
      <c r="J9" s="151"/>
      <c r="K9" s="151"/>
      <c r="L9" s="151"/>
      <c r="M9" s="151"/>
    </row>
    <row r="10" spans="1:26" ht="13.7" hidden="1" customHeight="1" thickBot="1" x14ac:dyDescent="0.25">
      <c r="A10" s="763" t="s">
        <v>123</v>
      </c>
      <c r="B10" s="764"/>
      <c r="C10" s="764"/>
      <c r="D10" s="765"/>
      <c r="F10" s="309"/>
      <c r="G10" s="150"/>
      <c r="H10" s="150" t="s">
        <v>13</v>
      </c>
      <c r="I10" s="150"/>
      <c r="J10" s="150"/>
      <c r="K10" s="150"/>
      <c r="L10" s="150"/>
      <c r="M10" s="150"/>
    </row>
    <row r="11" spans="1:26" ht="13.5" hidden="1" thickBot="1" x14ac:dyDescent="0.25">
      <c r="A11" s="141"/>
      <c r="B11" s="141"/>
      <c r="C11" s="141"/>
      <c r="D11" s="141"/>
      <c r="F11" s="143"/>
      <c r="G11" s="141"/>
      <c r="H11" s="141"/>
      <c r="I11" s="141"/>
      <c r="J11" s="141"/>
      <c r="K11" s="141"/>
      <c r="L11" s="141"/>
      <c r="M11" s="141"/>
      <c r="P11" s="78"/>
    </row>
    <row r="12" spans="1:26" ht="34.5" thickBot="1" x14ac:dyDescent="0.25">
      <c r="A12" s="142" t="s">
        <v>286</v>
      </c>
      <c r="B12" s="142" t="s">
        <v>34</v>
      </c>
      <c r="C12" s="142" t="s">
        <v>124</v>
      </c>
      <c r="D12" s="142" t="s">
        <v>125</v>
      </c>
      <c r="E12" s="307" t="s">
        <v>81</v>
      </c>
      <c r="F12" s="144" t="s">
        <v>126</v>
      </c>
      <c r="G12" s="142" t="s">
        <v>189</v>
      </c>
      <c r="H12" s="142" t="s">
        <v>34</v>
      </c>
      <c r="I12" s="142" t="s">
        <v>127</v>
      </c>
      <c r="J12" s="142" t="s">
        <v>128</v>
      </c>
      <c r="K12" s="142" t="s">
        <v>129</v>
      </c>
      <c r="L12" s="142" t="s">
        <v>82</v>
      </c>
      <c r="M12" s="142" t="s">
        <v>83</v>
      </c>
    </row>
    <row r="13" spans="1:26" ht="24" customHeight="1" x14ac:dyDescent="0.2">
      <c r="A13" s="290">
        <f>'Rebate Information (Chillers-W)'!D10</f>
        <v>0</v>
      </c>
      <c r="B13" s="139">
        <f>'Rebate Information (Chillers-W)'!E10</f>
        <v>0</v>
      </c>
      <c r="C13" s="447">
        <f>A13*B13*'Rebate Information (Chillers-W)'!C10</f>
        <v>0</v>
      </c>
      <c r="D13" s="444">
        <f t="shared" ref="D13:D22" si="0">C13*E13</f>
        <v>0</v>
      </c>
      <c r="E13" s="308">
        <f>'Rebate Information (Chillers-W)'!O10</f>
        <v>0</v>
      </c>
      <c r="F13" s="448">
        <f>'Rebate Information (Chillers-W)'!G10</f>
        <v>0</v>
      </c>
      <c r="G13" s="447">
        <f>'Rebate Information (Chillers-W)'!K10</f>
        <v>0</v>
      </c>
      <c r="H13" s="139">
        <f>'Rebate Information (Chillers-W)'!N10</f>
        <v>0</v>
      </c>
      <c r="I13" s="140">
        <f>G13*H13*'Rebate Information (Chillers-W)'!I10</f>
        <v>0</v>
      </c>
      <c r="J13" s="444">
        <f>H13*'Rebate Information (Chillers-W)'!I10*'Rebate Information (Chillers-W)'!M10*E13</f>
        <v>0</v>
      </c>
      <c r="K13" s="140">
        <f t="shared" ref="K13:K22" si="1">IFERROR(IF(ISERROR(C13-I13),"",C13-I13)*0.9,"")</f>
        <v>0</v>
      </c>
      <c r="L13" s="149">
        <f t="shared" ref="L13:L22" si="2">IF(ISERROR(D13-J13),"",D13-J13)</f>
        <v>0</v>
      </c>
      <c r="M13" s="184">
        <f t="shared" ref="M13:M22" si="3">IFERROR(L13*$L$3,"")</f>
        <v>0</v>
      </c>
    </row>
    <row r="14" spans="1:26" ht="24" customHeight="1" x14ac:dyDescent="0.2">
      <c r="A14" s="290">
        <f>'Rebate Information (Chillers-W)'!D11</f>
        <v>0</v>
      </c>
      <c r="B14" s="139">
        <f>'Rebate Information (Chillers-W)'!E11</f>
        <v>0</v>
      </c>
      <c r="C14" s="447">
        <f>A14*B14*'Rebate Information (Chillers-W)'!C11</f>
        <v>0</v>
      </c>
      <c r="D14" s="444">
        <f t="shared" si="0"/>
        <v>0</v>
      </c>
      <c r="E14" s="308">
        <f>'Rebate Information (Chillers-W)'!O11</f>
        <v>0</v>
      </c>
      <c r="F14" s="448">
        <f>'Rebate Information (Chillers-W)'!G11</f>
        <v>0</v>
      </c>
      <c r="G14" s="447">
        <f>'Rebate Information (Chillers-W)'!K11</f>
        <v>0</v>
      </c>
      <c r="H14" s="139">
        <f>'Rebate Information (Chillers-W)'!N11</f>
        <v>0</v>
      </c>
      <c r="I14" s="140">
        <f>G14*H14*'Rebate Information (Chillers-W)'!I11</f>
        <v>0</v>
      </c>
      <c r="J14" s="444">
        <f>H14*'Rebate Information (Chillers-W)'!I11*'Rebate Information (Chillers-W)'!M11*E14</f>
        <v>0</v>
      </c>
      <c r="K14" s="140">
        <f t="shared" si="1"/>
        <v>0</v>
      </c>
      <c r="L14" s="149">
        <f t="shared" si="2"/>
        <v>0</v>
      </c>
      <c r="M14" s="184">
        <f t="shared" si="3"/>
        <v>0</v>
      </c>
    </row>
    <row r="15" spans="1:26" ht="24" customHeight="1" x14ac:dyDescent="0.2">
      <c r="A15" s="290">
        <f>'Rebate Information (Chillers-W)'!D12</f>
        <v>0</v>
      </c>
      <c r="B15" s="139">
        <f>'Rebate Information (Chillers-W)'!E12</f>
        <v>0</v>
      </c>
      <c r="C15" s="447">
        <f>A15*B15*'Rebate Information (Chillers-W)'!C12</f>
        <v>0</v>
      </c>
      <c r="D15" s="444">
        <f t="shared" si="0"/>
        <v>0</v>
      </c>
      <c r="E15" s="308">
        <f>'Rebate Information (Chillers-W)'!O12</f>
        <v>0</v>
      </c>
      <c r="F15" s="448">
        <f>'Rebate Information (Chillers-W)'!G12</f>
        <v>0</v>
      </c>
      <c r="G15" s="447">
        <f>'Rebate Information (Chillers-W)'!K12</f>
        <v>0</v>
      </c>
      <c r="H15" s="139">
        <f>'Rebate Information (Chillers-W)'!N12</f>
        <v>0</v>
      </c>
      <c r="I15" s="140">
        <f>G15*H15*'Rebate Information (Chillers-W)'!I12</f>
        <v>0</v>
      </c>
      <c r="J15" s="444">
        <f>H15*'Rebate Information (Chillers-W)'!I12*'Rebate Information (Chillers-W)'!M12*E15</f>
        <v>0</v>
      </c>
      <c r="K15" s="140">
        <f t="shared" si="1"/>
        <v>0</v>
      </c>
      <c r="L15" s="149">
        <f t="shared" si="2"/>
        <v>0</v>
      </c>
      <c r="M15" s="184">
        <f t="shared" si="3"/>
        <v>0</v>
      </c>
    </row>
    <row r="16" spans="1:26" ht="24" customHeight="1" x14ac:dyDescent="0.2">
      <c r="A16" s="290">
        <f>'Rebate Information (Chillers-W)'!D13</f>
        <v>0</v>
      </c>
      <c r="B16" s="139">
        <f>'Rebate Information (Chillers-W)'!E13</f>
        <v>0</v>
      </c>
      <c r="C16" s="447">
        <f>A16*B16*'Rebate Information (Chillers-W)'!C13</f>
        <v>0</v>
      </c>
      <c r="D16" s="444">
        <f t="shared" si="0"/>
        <v>0</v>
      </c>
      <c r="E16" s="308">
        <f>'Rebate Information (Chillers-W)'!O13</f>
        <v>0</v>
      </c>
      <c r="F16" s="448">
        <f>'Rebate Information (Chillers-W)'!G13</f>
        <v>0</v>
      </c>
      <c r="G16" s="447">
        <f>'Rebate Information (Chillers-W)'!K13</f>
        <v>0</v>
      </c>
      <c r="H16" s="139">
        <f>'Rebate Information (Chillers-W)'!N13</f>
        <v>0</v>
      </c>
      <c r="I16" s="140">
        <f>G16*H16*'Rebate Information (Chillers-W)'!I13</f>
        <v>0</v>
      </c>
      <c r="J16" s="444">
        <f>H16*'Rebate Information (Chillers-W)'!I13*'Rebate Information (Chillers-W)'!M13*E16</f>
        <v>0</v>
      </c>
      <c r="K16" s="140">
        <f t="shared" si="1"/>
        <v>0</v>
      </c>
      <c r="L16" s="149">
        <f t="shared" si="2"/>
        <v>0</v>
      </c>
      <c r="M16" s="184">
        <f t="shared" si="3"/>
        <v>0</v>
      </c>
    </row>
    <row r="17" spans="1:13" ht="24" customHeight="1" x14ac:dyDescent="0.2">
      <c r="A17" s="290">
        <f>'Rebate Information (Chillers-W)'!D14</f>
        <v>0</v>
      </c>
      <c r="B17" s="139">
        <f>'Rebate Information (Chillers-W)'!E14</f>
        <v>0</v>
      </c>
      <c r="C17" s="447">
        <f>A17*B17*'Rebate Information (Chillers-W)'!C14</f>
        <v>0</v>
      </c>
      <c r="D17" s="444">
        <f t="shared" si="0"/>
        <v>0</v>
      </c>
      <c r="E17" s="308">
        <f>'Rebate Information (Chillers-W)'!O14</f>
        <v>0</v>
      </c>
      <c r="F17" s="448">
        <f>'Rebate Information (Chillers-W)'!G14</f>
        <v>0</v>
      </c>
      <c r="G17" s="447">
        <f>'Rebate Information (Chillers-W)'!K14</f>
        <v>0</v>
      </c>
      <c r="H17" s="139">
        <f>'Rebate Information (Chillers-W)'!N14</f>
        <v>0</v>
      </c>
      <c r="I17" s="140">
        <f>G17*H17*'Rebate Information (Chillers-W)'!I14</f>
        <v>0</v>
      </c>
      <c r="J17" s="444">
        <f>H17*'Rebate Information (Chillers-W)'!I14*'Rebate Information (Chillers-W)'!M14*E17</f>
        <v>0</v>
      </c>
      <c r="K17" s="140">
        <f t="shared" si="1"/>
        <v>0</v>
      </c>
      <c r="L17" s="149">
        <f t="shared" si="2"/>
        <v>0</v>
      </c>
      <c r="M17" s="184">
        <f t="shared" si="3"/>
        <v>0</v>
      </c>
    </row>
    <row r="18" spans="1:13" ht="24" customHeight="1" x14ac:dyDescent="0.2">
      <c r="A18" s="290">
        <f>'Rebate Information (Chillers-W)'!D15</f>
        <v>0</v>
      </c>
      <c r="B18" s="139">
        <f>'Rebate Information (Chillers-W)'!E15</f>
        <v>0</v>
      </c>
      <c r="C18" s="447">
        <f>A18*B18*'Rebate Information (Chillers-W)'!C15</f>
        <v>0</v>
      </c>
      <c r="D18" s="444">
        <f t="shared" si="0"/>
        <v>0</v>
      </c>
      <c r="E18" s="308">
        <f>'Rebate Information (Chillers-W)'!O15</f>
        <v>0</v>
      </c>
      <c r="F18" s="448">
        <f>'Rebate Information (Chillers-W)'!G15</f>
        <v>0</v>
      </c>
      <c r="G18" s="447">
        <f>'Rebate Information (Chillers-W)'!K15</f>
        <v>0</v>
      </c>
      <c r="H18" s="139">
        <f>'Rebate Information (Chillers-W)'!N15</f>
        <v>0</v>
      </c>
      <c r="I18" s="140">
        <f>G18*H18*'Rebate Information (Chillers-W)'!I15</f>
        <v>0</v>
      </c>
      <c r="J18" s="444">
        <f>H18*'Rebate Information (Chillers-W)'!I15*'Rebate Information (Chillers-W)'!M15*E18</f>
        <v>0</v>
      </c>
      <c r="K18" s="140">
        <f t="shared" si="1"/>
        <v>0</v>
      </c>
      <c r="L18" s="149">
        <f t="shared" si="2"/>
        <v>0</v>
      </c>
      <c r="M18" s="184">
        <f t="shared" si="3"/>
        <v>0</v>
      </c>
    </row>
    <row r="19" spans="1:13" ht="24" customHeight="1" x14ac:dyDescent="0.2">
      <c r="A19" s="290">
        <f>'Rebate Information (Chillers-W)'!D16</f>
        <v>0</v>
      </c>
      <c r="B19" s="139">
        <f>'Rebate Information (Chillers-W)'!E16</f>
        <v>0</v>
      </c>
      <c r="C19" s="447">
        <f>A19*B19*'Rebate Information (Chillers-W)'!C16</f>
        <v>0</v>
      </c>
      <c r="D19" s="444">
        <f t="shared" si="0"/>
        <v>0</v>
      </c>
      <c r="E19" s="308">
        <f>'Rebate Information (Chillers-W)'!O16</f>
        <v>0</v>
      </c>
      <c r="F19" s="448">
        <f>'Rebate Information (Chillers-W)'!G16</f>
        <v>0</v>
      </c>
      <c r="G19" s="447">
        <f>'Rebate Information (Chillers-W)'!K16</f>
        <v>0</v>
      </c>
      <c r="H19" s="139">
        <f>'Rebate Information (Chillers-W)'!N16</f>
        <v>0</v>
      </c>
      <c r="I19" s="140">
        <f>G19*H19*'Rebate Information (Chillers-W)'!I16</f>
        <v>0</v>
      </c>
      <c r="J19" s="444">
        <f>H19*'Rebate Information (Chillers-W)'!I16*'Rebate Information (Chillers-W)'!M16*E19</f>
        <v>0</v>
      </c>
      <c r="K19" s="140">
        <f t="shared" si="1"/>
        <v>0</v>
      </c>
      <c r="L19" s="149">
        <f t="shared" si="2"/>
        <v>0</v>
      </c>
      <c r="M19" s="184">
        <f t="shared" si="3"/>
        <v>0</v>
      </c>
    </row>
    <row r="20" spans="1:13" ht="24" customHeight="1" x14ac:dyDescent="0.2">
      <c r="A20" s="290">
        <f>'Rebate Information (Chillers-W)'!D17</f>
        <v>0</v>
      </c>
      <c r="B20" s="139">
        <f>'Rebate Information (Chillers-W)'!E17</f>
        <v>0</v>
      </c>
      <c r="C20" s="447">
        <f>A20*B20*'Rebate Information (Chillers-W)'!C17</f>
        <v>0</v>
      </c>
      <c r="D20" s="444">
        <f t="shared" si="0"/>
        <v>0</v>
      </c>
      <c r="E20" s="308">
        <f>'Rebate Information (Chillers-W)'!O17</f>
        <v>0</v>
      </c>
      <c r="F20" s="448">
        <f>'Rebate Information (Chillers-W)'!G17</f>
        <v>0</v>
      </c>
      <c r="G20" s="447">
        <f>'Rebate Information (Chillers-W)'!K17</f>
        <v>0</v>
      </c>
      <c r="H20" s="139">
        <f>'Rebate Information (Chillers-W)'!N17</f>
        <v>0</v>
      </c>
      <c r="I20" s="140">
        <f>G20*H20*'Rebate Information (Chillers-W)'!I17</f>
        <v>0</v>
      </c>
      <c r="J20" s="444">
        <f>H20*'Rebate Information (Chillers-W)'!I17*'Rebate Information (Chillers-W)'!M17*E20</f>
        <v>0</v>
      </c>
      <c r="K20" s="140">
        <f t="shared" si="1"/>
        <v>0</v>
      </c>
      <c r="L20" s="149">
        <f t="shared" si="2"/>
        <v>0</v>
      </c>
      <c r="M20" s="184">
        <f t="shared" si="3"/>
        <v>0</v>
      </c>
    </row>
    <row r="21" spans="1:13" ht="24" customHeight="1" x14ac:dyDescent="0.2">
      <c r="A21" s="290">
        <f>'Rebate Information (Chillers-W)'!D18</f>
        <v>0</v>
      </c>
      <c r="B21" s="139">
        <f>'Rebate Information (Chillers-W)'!E18</f>
        <v>0</v>
      </c>
      <c r="C21" s="447">
        <f>A21*B21*'Rebate Information (Chillers-W)'!C18</f>
        <v>0</v>
      </c>
      <c r="D21" s="444">
        <f t="shared" si="0"/>
        <v>0</v>
      </c>
      <c r="E21" s="308">
        <f>'Rebate Information (Chillers-W)'!O18</f>
        <v>0</v>
      </c>
      <c r="F21" s="448">
        <f>'Rebate Information (Chillers-W)'!G18</f>
        <v>0</v>
      </c>
      <c r="G21" s="447">
        <f>'Rebate Information (Chillers-W)'!K18</f>
        <v>0</v>
      </c>
      <c r="H21" s="139">
        <f>'Rebate Information (Chillers-W)'!N18</f>
        <v>0</v>
      </c>
      <c r="I21" s="140">
        <f>G21*H21*'Rebate Information (Chillers-W)'!I18</f>
        <v>0</v>
      </c>
      <c r="J21" s="444">
        <f>H21*'Rebate Information (Chillers-W)'!I18*'Rebate Information (Chillers-W)'!M18*E21</f>
        <v>0</v>
      </c>
      <c r="K21" s="140">
        <f t="shared" si="1"/>
        <v>0</v>
      </c>
      <c r="L21" s="149">
        <f t="shared" si="2"/>
        <v>0</v>
      </c>
      <c r="M21" s="184">
        <f t="shared" si="3"/>
        <v>0</v>
      </c>
    </row>
    <row r="22" spans="1:13" ht="24" customHeight="1" x14ac:dyDescent="0.2">
      <c r="A22" s="290">
        <f>'Rebate Information (Chillers-W)'!D19</f>
        <v>0</v>
      </c>
      <c r="B22" s="139">
        <f>'Rebate Information (Chillers-W)'!E19</f>
        <v>0</v>
      </c>
      <c r="C22" s="447">
        <f>A22*B22*'Rebate Information (Chillers-W)'!C19</f>
        <v>0</v>
      </c>
      <c r="D22" s="444">
        <f t="shared" si="0"/>
        <v>0</v>
      </c>
      <c r="E22" s="308">
        <f>'Rebate Information (Chillers-W)'!O19</f>
        <v>0</v>
      </c>
      <c r="F22" s="448">
        <f>'Rebate Information (Chillers-W)'!G19</f>
        <v>0</v>
      </c>
      <c r="G22" s="447">
        <f>'Rebate Information (Chillers-W)'!K19</f>
        <v>0</v>
      </c>
      <c r="H22" s="139">
        <f>'Rebate Information (Chillers-W)'!N19</f>
        <v>0</v>
      </c>
      <c r="I22" s="140">
        <f>G22*H22*'Rebate Information (Chillers-W)'!I19</f>
        <v>0</v>
      </c>
      <c r="J22" s="444">
        <f>H22*'Rebate Information (Chillers-W)'!I19*'Rebate Information (Chillers-W)'!M19*E22</f>
        <v>0</v>
      </c>
      <c r="K22" s="140">
        <f t="shared" si="1"/>
        <v>0</v>
      </c>
      <c r="L22" s="149">
        <f t="shared" si="2"/>
        <v>0</v>
      </c>
      <c r="M22" s="184">
        <f t="shared" si="3"/>
        <v>0</v>
      </c>
    </row>
    <row r="23" spans="1:13" ht="9.9499999999999993" customHeight="1" thickBot="1" x14ac:dyDescent="0.25"/>
    <row r="24" spans="1:13" ht="21" customHeight="1" thickBot="1" x14ac:dyDescent="0.25">
      <c r="A24" s="243" t="s">
        <v>123</v>
      </c>
      <c r="B24" s="244"/>
      <c r="C24" s="245" t="s">
        <v>129</v>
      </c>
      <c r="D24" s="246" t="s">
        <v>82</v>
      </c>
      <c r="F24" s="254" t="s">
        <v>13</v>
      </c>
      <c r="G24" s="255"/>
      <c r="H24" s="255"/>
      <c r="I24" s="256" t="s">
        <v>129</v>
      </c>
      <c r="J24" s="257" t="s">
        <v>82</v>
      </c>
    </row>
    <row r="25" spans="1:13" ht="21" customHeight="1" x14ac:dyDescent="0.2">
      <c r="A25" s="247"/>
      <c r="B25" s="248" t="s">
        <v>176</v>
      </c>
      <c r="C25" s="153">
        <f>SUM(C13:C22)</f>
        <v>0</v>
      </c>
      <c r="D25" s="249">
        <f>SUM(D13:D22)</f>
        <v>0</v>
      </c>
      <c r="F25" s="258"/>
      <c r="G25" s="259"/>
      <c r="H25" s="260" t="s">
        <v>176</v>
      </c>
      <c r="I25" s="154">
        <f>SUM(I13:I22)</f>
        <v>0</v>
      </c>
      <c r="J25" s="261">
        <f>SUM(J13:J22)</f>
        <v>0</v>
      </c>
    </row>
    <row r="26" spans="1:13" ht="21" customHeight="1" thickBot="1" x14ac:dyDescent="0.25">
      <c r="A26" s="250"/>
      <c r="B26" s="251" t="s">
        <v>177</v>
      </c>
      <c r="C26" s="252"/>
      <c r="D26" s="253">
        <f>D25*$L$3</f>
        <v>0</v>
      </c>
      <c r="E26" s="242"/>
      <c r="F26" s="262"/>
      <c r="G26" s="155"/>
      <c r="H26" s="263" t="s">
        <v>178</v>
      </c>
      <c r="I26" s="264"/>
      <c r="J26" s="265">
        <f>J25*$L$3</f>
        <v>0</v>
      </c>
    </row>
    <row r="27" spans="1:13" ht="6.75" customHeight="1" thickBot="1" x14ac:dyDescent="0.25">
      <c r="E27" s="71"/>
    </row>
    <row r="28" spans="1:13" ht="21" customHeight="1" thickBot="1" x14ac:dyDescent="0.25">
      <c r="E28" s="71"/>
      <c r="F28" s="266" t="s">
        <v>80</v>
      </c>
      <c r="G28" s="267"/>
      <c r="H28" s="267"/>
      <c r="I28" s="268" t="s">
        <v>129</v>
      </c>
      <c r="J28" s="269" t="s">
        <v>82</v>
      </c>
    </row>
    <row r="29" spans="1:13" ht="21" customHeight="1" x14ac:dyDescent="0.2">
      <c r="F29" s="270"/>
      <c r="G29" s="271"/>
      <c r="H29" s="272" t="s">
        <v>179</v>
      </c>
      <c r="I29" s="166">
        <f>(C25-I25)*0.9</f>
        <v>0</v>
      </c>
      <c r="J29" s="315">
        <f>D25-J25</f>
        <v>0</v>
      </c>
    </row>
    <row r="30" spans="1:13" ht="21" customHeight="1" thickBot="1" x14ac:dyDescent="0.25">
      <c r="F30" s="274"/>
      <c r="G30" s="157"/>
      <c r="H30" s="275" t="s">
        <v>180</v>
      </c>
      <c r="I30" s="156"/>
      <c r="J30" s="276">
        <f>D26-J26</f>
        <v>0</v>
      </c>
    </row>
    <row r="31" spans="1:13" ht="23.25" customHeight="1" x14ac:dyDescent="0.2"/>
  </sheetData>
  <sheetProtection selectLockedCells="1"/>
  <mergeCells count="5">
    <mergeCell ref="A10:D10"/>
    <mergeCell ref="B7:H7"/>
    <mergeCell ref="K8:M8"/>
    <mergeCell ref="A8:D8"/>
    <mergeCell ref="F8:J8"/>
  </mergeCells>
  <conditionalFormatting sqref="F11 M11 A11:C13 E12:E13 D13 F13">
    <cfRule type="cellIs" dxfId="4" priority="50" stopIfTrue="1" operator="equal">
      <formula>0</formula>
    </cfRule>
  </conditionalFormatting>
  <conditionalFormatting sqref="G13:K22">
    <cfRule type="cellIs" dxfId="3" priority="1" stopIfTrue="1" operator="equal">
      <formula>0</formula>
    </cfRule>
  </conditionalFormatting>
  <conditionalFormatting sqref="L12:M22 A14:F22">
    <cfRule type="cellIs" dxfId="2" priority="5" stopIfTrue="1" operator="equal">
      <formula>0</formula>
    </cfRule>
  </conditionalFormatting>
  <printOptions horizontalCentered="1"/>
  <pageMargins left="0.2" right="0.2" top="0.75" bottom="0.75" header="0.3" footer="0.3"/>
  <pageSetup scale="93"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Z31"/>
  <sheetViews>
    <sheetView zoomScaleNormal="100" workbookViewId="0">
      <selection activeCell="B70" sqref="B70"/>
    </sheetView>
  </sheetViews>
  <sheetFormatPr defaultRowHeight="12.75" x14ac:dyDescent="0.2"/>
  <cols>
    <col min="1" max="1" width="18.85546875" customWidth="1"/>
    <col min="2" max="2" width="14" customWidth="1"/>
    <col min="3" max="3" width="9.28515625" customWidth="1"/>
    <col min="4" max="4" width="11" customWidth="1"/>
    <col min="5" max="5" width="10.7109375" customWidth="1"/>
    <col min="6" max="6" width="12.7109375" customWidth="1"/>
    <col min="7" max="7" width="11.85546875" customWidth="1"/>
    <col min="8" max="8" width="9.140625" customWidth="1"/>
    <col min="9" max="9" width="9.28515625" customWidth="1"/>
    <col min="10" max="10" width="10.140625" bestFit="1" customWidth="1"/>
    <col min="11" max="11" width="9.85546875" bestFit="1" customWidth="1"/>
    <col min="12" max="12" width="10.140625" bestFit="1" customWidth="1"/>
    <col min="13" max="13" width="10.42578125" bestFit="1" customWidth="1"/>
    <col min="14" max="14" width="9.28515625" bestFit="1" customWidth="1"/>
    <col min="15" max="15" width="10.85546875" bestFit="1" customWidth="1"/>
    <col min="16" max="16" width="11.85546875" customWidth="1"/>
  </cols>
  <sheetData>
    <row r="1" spans="1:26" ht="19.5" customHeight="1" thickBot="1" x14ac:dyDescent="0.25">
      <c r="A1" s="768" t="s">
        <v>218</v>
      </c>
      <c r="B1" s="769"/>
      <c r="C1" s="769"/>
      <c r="D1" s="769"/>
      <c r="E1" s="769"/>
      <c r="F1" s="769"/>
      <c r="G1" s="769"/>
      <c r="H1" s="769"/>
      <c r="I1" s="769"/>
      <c r="J1" s="769"/>
      <c r="K1" s="769"/>
      <c r="L1" s="769"/>
      <c r="M1" s="769"/>
      <c r="N1" s="769"/>
      <c r="O1" s="770"/>
      <c r="P1" s="1"/>
      <c r="U1" s="2"/>
      <c r="V1" s="2"/>
      <c r="W1" s="2"/>
      <c r="X1" s="2"/>
      <c r="Y1" s="2"/>
      <c r="Z1" s="2"/>
    </row>
    <row r="2" spans="1:26" x14ac:dyDescent="0.2">
      <c r="A2" s="14" t="s">
        <v>186</v>
      </c>
      <c r="B2" s="1">
        <f>'Customer Information'!CustomerName</f>
        <v>0</v>
      </c>
      <c r="C2" s="69"/>
      <c r="D2" s="69"/>
      <c r="E2" s="1"/>
      <c r="F2" s="1"/>
      <c r="G2" s="1"/>
      <c r="H2" s="1"/>
      <c r="I2" s="1"/>
      <c r="J2" s="163" t="s">
        <v>77</v>
      </c>
      <c r="K2" s="163" t="s">
        <v>78</v>
      </c>
      <c r="L2" s="163" t="s">
        <v>187</v>
      </c>
      <c r="N2" s="1"/>
      <c r="O2" s="1"/>
      <c r="P2" s="1"/>
    </row>
    <row r="3" spans="1:26" ht="13.7" customHeight="1" x14ac:dyDescent="0.2">
      <c r="A3" s="1"/>
      <c r="B3" s="158"/>
      <c r="C3" s="159"/>
      <c r="D3" s="160"/>
      <c r="E3" s="1"/>
      <c r="F3" s="1"/>
      <c r="G3" s="1"/>
      <c r="H3" s="1"/>
      <c r="I3" s="152" t="s">
        <v>79</v>
      </c>
      <c r="J3" s="186">
        <v>19.670000000000002</v>
      </c>
      <c r="K3" s="185">
        <v>5.9799999999999999E-2</v>
      </c>
      <c r="L3" s="164">
        <f>(J3/(0.55*720)+K3)</f>
        <v>0.10947171717171716</v>
      </c>
      <c r="N3" s="1"/>
      <c r="O3" s="1"/>
      <c r="P3" s="1"/>
    </row>
    <row r="4" spans="1:26" x14ac:dyDescent="0.2">
      <c r="A4" s="14" t="s">
        <v>185</v>
      </c>
      <c r="B4" s="1">
        <f>'Customer Information'!CustomerInstallAddress</f>
        <v>0</v>
      </c>
      <c r="C4" s="159"/>
      <c r="D4" s="160"/>
      <c r="E4" s="1"/>
      <c r="F4" s="1"/>
      <c r="G4" s="1"/>
      <c r="H4" s="1"/>
      <c r="J4" s="158"/>
      <c r="K4" s="159"/>
      <c r="L4" s="160"/>
      <c r="M4" s="167"/>
      <c r="N4" s="1"/>
      <c r="O4" s="1"/>
      <c r="P4" s="1"/>
    </row>
    <row r="5" spans="1:26" x14ac:dyDescent="0.2">
      <c r="A5" s="14" t="s">
        <v>2</v>
      </c>
      <c r="B5" s="1">
        <f>'Customer Information'!G13</f>
        <v>0</v>
      </c>
      <c r="C5" s="1"/>
      <c r="D5" s="1"/>
      <c r="E5" s="1"/>
      <c r="F5" s="1"/>
      <c r="G5" s="1"/>
      <c r="H5" s="1"/>
      <c r="I5" s="1"/>
      <c r="J5" s="1"/>
      <c r="K5" s="1"/>
      <c r="L5" s="1"/>
      <c r="M5" s="1"/>
      <c r="N5" s="1"/>
      <c r="O5" s="1"/>
      <c r="P5" s="1"/>
    </row>
    <row r="6" spans="1:26" x14ac:dyDescent="0.2">
      <c r="A6" s="771" t="s">
        <v>181</v>
      </c>
      <c r="B6" s="771"/>
      <c r="C6" s="771"/>
      <c r="D6" s="771"/>
      <c r="E6" s="771"/>
      <c r="F6" s="771"/>
      <c r="G6" s="771"/>
      <c r="H6" s="771"/>
      <c r="I6" s="771"/>
      <c r="J6" s="771"/>
      <c r="K6" s="771"/>
      <c r="L6" s="771"/>
      <c r="M6" s="771"/>
      <c r="N6" s="771"/>
      <c r="O6" s="771"/>
      <c r="P6" s="1"/>
    </row>
    <row r="7" spans="1:26" ht="4.7" customHeight="1" thickBot="1" x14ac:dyDescent="0.25">
      <c r="A7" s="1"/>
      <c r="B7" s="766"/>
      <c r="C7" s="766"/>
      <c r="D7" s="766"/>
      <c r="E7" s="766"/>
      <c r="F7" s="766"/>
      <c r="G7" s="766"/>
      <c r="H7" s="766"/>
      <c r="I7" s="1"/>
      <c r="J7" s="1"/>
      <c r="K7" s="1"/>
      <c r="L7" s="1"/>
      <c r="M7" s="1"/>
      <c r="Q7" s="1"/>
      <c r="R7" s="1"/>
      <c r="S7" s="1"/>
      <c r="T7" s="1"/>
    </row>
    <row r="8" spans="1:26" s="1" customFormat="1" ht="13.5" thickBot="1" x14ac:dyDescent="0.25">
      <c r="A8" s="728" t="s">
        <v>123</v>
      </c>
      <c r="B8" s="729"/>
      <c r="C8" s="729"/>
      <c r="D8" s="729"/>
      <c r="E8" s="730"/>
      <c r="F8"/>
      <c r="G8" s="723" t="s">
        <v>13</v>
      </c>
      <c r="H8" s="724"/>
      <c r="I8" s="724"/>
      <c r="J8" s="724"/>
      <c r="K8" s="724"/>
      <c r="L8" s="725"/>
      <c r="M8" s="767" t="s">
        <v>80</v>
      </c>
      <c r="N8" s="726"/>
      <c r="O8" s="727"/>
      <c r="P8"/>
      <c r="Q8"/>
      <c r="R8"/>
      <c r="S8"/>
      <c r="T8"/>
      <c r="U8"/>
      <c r="V8"/>
    </row>
    <row r="9" spans="1:26" ht="13.7" hidden="1" customHeight="1" thickBot="1" x14ac:dyDescent="0.25">
      <c r="A9" s="301"/>
      <c r="B9" s="70"/>
      <c r="C9" s="70"/>
      <c r="D9" s="70"/>
      <c r="E9" s="302"/>
      <c r="F9" s="70"/>
      <c r="G9" s="301"/>
      <c r="H9" s="316"/>
      <c r="I9" s="316"/>
      <c r="J9" s="316"/>
      <c r="K9" s="316"/>
      <c r="L9" s="316"/>
      <c r="M9" s="151"/>
      <c r="N9" s="151"/>
      <c r="O9" s="151"/>
    </row>
    <row r="10" spans="1:26" ht="13.7" hidden="1" customHeight="1" thickBot="1" x14ac:dyDescent="0.25">
      <c r="A10" s="309" t="s">
        <v>123</v>
      </c>
      <c r="B10" s="188"/>
      <c r="C10" s="188"/>
      <c r="D10" s="188"/>
      <c r="E10" s="189"/>
      <c r="F10" s="188"/>
      <c r="G10" s="309"/>
      <c r="H10" s="150"/>
      <c r="I10" s="150"/>
      <c r="J10" s="150" t="s">
        <v>13</v>
      </c>
      <c r="K10" s="150"/>
      <c r="L10" s="150"/>
      <c r="M10" s="150"/>
      <c r="N10" s="150"/>
      <c r="O10" s="150"/>
    </row>
    <row r="11" spans="1:26" ht="13.5" hidden="1" thickBot="1" x14ac:dyDescent="0.25">
      <c r="A11" s="141"/>
      <c r="B11" s="141"/>
      <c r="C11" s="141"/>
      <c r="D11" s="141"/>
      <c r="E11" s="141"/>
      <c r="F11" s="317"/>
      <c r="G11" s="143"/>
      <c r="H11" s="141"/>
      <c r="I11" s="141"/>
      <c r="J11" s="141"/>
      <c r="K11" s="141"/>
      <c r="L11" s="141"/>
      <c r="M11" s="141"/>
      <c r="N11" s="141"/>
      <c r="O11" s="141"/>
      <c r="R11" s="78"/>
    </row>
    <row r="12" spans="1:26" ht="34.5" thickBot="1" x14ac:dyDescent="0.25">
      <c r="A12" s="142" t="s">
        <v>227</v>
      </c>
      <c r="B12" s="142" t="s">
        <v>228</v>
      </c>
      <c r="C12" s="142" t="s">
        <v>34</v>
      </c>
      <c r="D12" s="142" t="s">
        <v>124</v>
      </c>
      <c r="E12" s="142" t="s">
        <v>125</v>
      </c>
      <c r="F12" s="307" t="s">
        <v>81</v>
      </c>
      <c r="G12" s="144" t="s">
        <v>126</v>
      </c>
      <c r="H12" s="142" t="s">
        <v>229</v>
      </c>
      <c r="I12" s="142" t="s">
        <v>230</v>
      </c>
      <c r="J12" s="142" t="s">
        <v>34</v>
      </c>
      <c r="K12" s="142" t="s">
        <v>127</v>
      </c>
      <c r="L12" s="142" t="s">
        <v>128</v>
      </c>
      <c r="M12" s="142" t="s">
        <v>129</v>
      </c>
      <c r="N12" s="142" t="s">
        <v>82</v>
      </c>
      <c r="O12" s="142" t="s">
        <v>83</v>
      </c>
    </row>
    <row r="13" spans="1:26" ht="24" customHeight="1" x14ac:dyDescent="0.2">
      <c r="A13" s="290"/>
      <c r="B13" s="139" t="str">
        <f>'Rebate Information (Chillers-A)'!L10</f>
        <v/>
      </c>
      <c r="C13" s="139">
        <f>'Rebate Information (Chillers-A)'!E10</f>
        <v>0</v>
      </c>
      <c r="D13" s="183" t="str">
        <f>IFERROR(12/'Rebate Information (Chillers-A)'!D10*'Rebate Information (Chillers-A)'!C10*'Rebate Information (Chillers-A)'!E10,"")</f>
        <v/>
      </c>
      <c r="E13" s="300" t="str">
        <f>IFERROR(12/B13*'Rebate Information (Chillers-A)'!C10*'Air Cooled Chillers Savings'!F13*C13,"")</f>
        <v/>
      </c>
      <c r="F13" s="308">
        <f>IFERROR('Rebate Information (Chillers-A)'!O10,"")</f>
        <v>0</v>
      </c>
      <c r="G13" s="291" t="str">
        <f>CONCATENATE('Rebate Information (Chillers-A)'!H10," ",'Rebate Information (Chillers-A)'!G10)</f>
        <v xml:space="preserve"> </v>
      </c>
      <c r="H13" s="145" t="str">
        <f>IF(ISNUMBER('Rebate Information (Chillers-A)'!K10),'Rebate Information (Chillers-A)'!K10,"")</f>
        <v/>
      </c>
      <c r="I13" s="145">
        <f>'Rebate Information (Chillers-A)'!M10</f>
        <v>0</v>
      </c>
      <c r="J13" s="146" t="str">
        <f>IF(ISNUMBER('Rebate Information (Chillers-A)'!N10),'Rebate Information (Chillers-A)'!N10,"")</f>
        <v/>
      </c>
      <c r="K13" s="140" t="str">
        <f>IFERROR(12/'Rebate Information (Chillers-A)'!K10*'Rebate Information (Chillers-A)'!I10*'Rebate Information (Chillers-A)'!N10,"")</f>
        <v/>
      </c>
      <c r="L13" s="147" t="str">
        <f>IFERROR(12/I13*'Rebate Information (Chillers-A)'!I10*F13*'Air Cooled Chillers Savings'!J13,"")</f>
        <v/>
      </c>
      <c r="M13" s="148" t="str">
        <f t="shared" ref="M13:M22" si="0">IFERROR(IF(ISERROR(D13-K13),"",D13-K13)*0.9,"")</f>
        <v/>
      </c>
      <c r="N13" s="149" t="str">
        <f t="shared" ref="N13:N22" si="1">IF(ISERROR(E13-L13),"",E13-L13)</f>
        <v/>
      </c>
      <c r="O13" s="184" t="str">
        <f t="shared" ref="O13:O22" si="2">IFERROR(N13*$L$3,"")</f>
        <v/>
      </c>
    </row>
    <row r="14" spans="1:26" ht="24" customHeight="1" x14ac:dyDescent="0.2">
      <c r="A14" s="290">
        <f>'Rebate Information (Chillers-A)'!D11</f>
        <v>0</v>
      </c>
      <c r="B14" s="139" t="str">
        <f>'Rebate Information (Chillers-A)'!L11</f>
        <v/>
      </c>
      <c r="C14" s="139">
        <f>'Rebate Information (Chillers-A)'!E11</f>
        <v>0</v>
      </c>
      <c r="D14" s="183" t="str">
        <f>IFERROR(12/'Rebate Information (Chillers-A)'!D11*'Rebate Information (Chillers-A)'!C11*'Rebate Information (Chillers-A)'!E11,"")</f>
        <v/>
      </c>
      <c r="E14" s="300" t="str">
        <f>IFERROR(12/B14*'Rebate Information (Chillers-A)'!C11*'Air Cooled Chillers Savings'!F14*C14,"")</f>
        <v/>
      </c>
      <c r="F14" s="308">
        <f>IFERROR('Rebate Information (Chillers-A)'!O11,"")</f>
        <v>0</v>
      </c>
      <c r="G14" s="291" t="str">
        <f>CONCATENATE('Rebate Information (Chillers-A)'!H11," ",'Rebate Information (Chillers-A)'!G11)</f>
        <v xml:space="preserve"> </v>
      </c>
      <c r="H14" s="145" t="str">
        <f>IF(ISNUMBER('Rebate Information (Chillers-A)'!K11),'Rebate Information (Chillers-A)'!K11,"")</f>
        <v/>
      </c>
      <c r="I14" s="145">
        <f>'Rebate Information (Chillers-A)'!M11</f>
        <v>0</v>
      </c>
      <c r="J14" s="146" t="str">
        <f>IF(ISNUMBER('Rebate Information (Chillers-A)'!N11),'Rebate Information (Chillers-A)'!N11,"")</f>
        <v/>
      </c>
      <c r="K14" s="140" t="str">
        <f>IFERROR(12/'Rebate Information (Chillers-A)'!K11*'Rebate Information (Chillers-A)'!I11*'Rebate Information (Chillers-A)'!N11,"")</f>
        <v/>
      </c>
      <c r="L14" s="147" t="str">
        <f>IFERROR(12/I14*'Rebate Information (Chillers-A)'!I11*F14*'Air Cooled Chillers Savings'!J14,"")</f>
        <v/>
      </c>
      <c r="M14" s="148" t="str">
        <f t="shared" si="0"/>
        <v/>
      </c>
      <c r="N14" s="149" t="str">
        <f t="shared" si="1"/>
        <v/>
      </c>
      <c r="O14" s="184" t="str">
        <f t="shared" si="2"/>
        <v/>
      </c>
    </row>
    <row r="15" spans="1:26" ht="24" customHeight="1" x14ac:dyDescent="0.2">
      <c r="A15" s="290">
        <f>'Rebate Information (Chillers-A)'!D12</f>
        <v>0</v>
      </c>
      <c r="B15" s="139" t="str">
        <f>'Rebate Information (Chillers-A)'!L12</f>
        <v/>
      </c>
      <c r="C15" s="139">
        <f>'Rebate Information (Chillers-A)'!E12</f>
        <v>0</v>
      </c>
      <c r="D15" s="183" t="str">
        <f>IFERROR(12/'Rebate Information (Chillers-A)'!D12*'Rebate Information (Chillers-A)'!C12*'Rebate Information (Chillers-A)'!E12,"")</f>
        <v/>
      </c>
      <c r="E15" s="300" t="str">
        <f>IFERROR(12/B15*'Rebate Information (Chillers-A)'!C12*'Air Cooled Chillers Savings'!F15*C15,"")</f>
        <v/>
      </c>
      <c r="F15" s="308">
        <f>IFERROR('Rebate Information (Chillers-A)'!O12,"")</f>
        <v>0</v>
      </c>
      <c r="G15" s="291" t="str">
        <f>CONCATENATE('Rebate Information (Chillers-A)'!H12," ",'Rebate Information (Chillers-A)'!G12)</f>
        <v xml:space="preserve"> </v>
      </c>
      <c r="H15" s="145" t="str">
        <f>IF(ISNUMBER('Rebate Information (Chillers-A)'!K12),'Rebate Information (Chillers-A)'!K12,"")</f>
        <v/>
      </c>
      <c r="I15" s="145">
        <f>'Rebate Information (Chillers-A)'!M12</f>
        <v>0</v>
      </c>
      <c r="J15" s="146" t="str">
        <f>IF(ISNUMBER('Rebate Information (Chillers-A)'!N12),'Rebate Information (Chillers-A)'!N12,"")</f>
        <v/>
      </c>
      <c r="K15" s="140" t="str">
        <f>IFERROR(12/'Rebate Information (Chillers-A)'!K12*'Rebate Information (Chillers-A)'!I12*'Rebate Information (Chillers-A)'!N12,"")</f>
        <v/>
      </c>
      <c r="L15" s="147" t="str">
        <f>IFERROR(12/I15*'Rebate Information (Chillers-A)'!I12*F15*'Air Cooled Chillers Savings'!J15,"")</f>
        <v/>
      </c>
      <c r="M15" s="148" t="str">
        <f t="shared" si="0"/>
        <v/>
      </c>
      <c r="N15" s="149" t="str">
        <f t="shared" si="1"/>
        <v/>
      </c>
      <c r="O15" s="184" t="str">
        <f t="shared" si="2"/>
        <v/>
      </c>
    </row>
    <row r="16" spans="1:26" ht="24" customHeight="1" x14ac:dyDescent="0.2">
      <c r="A16" s="290">
        <f>'Rebate Information (Chillers-A)'!D13</f>
        <v>0</v>
      </c>
      <c r="B16" s="139" t="str">
        <f>'Rebate Information (Chillers-A)'!L13</f>
        <v/>
      </c>
      <c r="C16" s="139">
        <f>'Rebate Information (Chillers-A)'!E13</f>
        <v>0</v>
      </c>
      <c r="D16" s="183" t="str">
        <f>IFERROR(12/'Rebate Information (Chillers-A)'!D13*'Rebate Information (Chillers-A)'!C13*'Rebate Information (Chillers-A)'!E13,"")</f>
        <v/>
      </c>
      <c r="E16" s="300" t="str">
        <f>IFERROR(12/B16*'Rebate Information (Chillers-A)'!C13*'Air Cooled Chillers Savings'!F16*C16,"")</f>
        <v/>
      </c>
      <c r="F16" s="308">
        <f>IFERROR('Rebate Information (Chillers-A)'!O13,"")</f>
        <v>0</v>
      </c>
      <c r="G16" s="291" t="str">
        <f>CONCATENATE('Rebate Information (Chillers-A)'!H13," ",'Rebate Information (Chillers-A)'!G13)</f>
        <v xml:space="preserve"> </v>
      </c>
      <c r="H16" s="145" t="str">
        <f>IF(ISNUMBER('Rebate Information (Chillers-A)'!K13),'Rebate Information (Chillers-A)'!K13,"")</f>
        <v/>
      </c>
      <c r="I16" s="145">
        <f>'Rebate Information (Chillers-A)'!M13</f>
        <v>0</v>
      </c>
      <c r="J16" s="146" t="str">
        <f>IF(ISNUMBER('Rebate Information (Chillers-A)'!N13),'Rebate Information (Chillers-A)'!N13,"")</f>
        <v/>
      </c>
      <c r="K16" s="140" t="str">
        <f>IFERROR(12/'Rebate Information (Chillers-A)'!K13*'Rebate Information (Chillers-A)'!I13*'Rebate Information (Chillers-A)'!N13,"")</f>
        <v/>
      </c>
      <c r="L16" s="147" t="str">
        <f>IFERROR(12/I16*'Rebate Information (Chillers-A)'!I13*F16*'Air Cooled Chillers Savings'!J16,"")</f>
        <v/>
      </c>
      <c r="M16" s="148" t="str">
        <f t="shared" si="0"/>
        <v/>
      </c>
      <c r="N16" s="149" t="str">
        <f t="shared" si="1"/>
        <v/>
      </c>
      <c r="O16" s="184" t="str">
        <f t="shared" si="2"/>
        <v/>
      </c>
    </row>
    <row r="17" spans="1:15" ht="24" customHeight="1" x14ac:dyDescent="0.2">
      <c r="A17" s="290">
        <f>'Rebate Information (Chillers-A)'!D14</f>
        <v>0</v>
      </c>
      <c r="B17" s="139" t="str">
        <f>'Rebate Information (Chillers-A)'!L14</f>
        <v/>
      </c>
      <c r="C17" s="139">
        <f>'Rebate Information (Chillers-A)'!E14</f>
        <v>0</v>
      </c>
      <c r="D17" s="183" t="str">
        <f>IFERROR(12/'Rebate Information (Chillers-A)'!D14*'Rebate Information (Chillers-A)'!C14*'Rebate Information (Chillers-A)'!E14,"")</f>
        <v/>
      </c>
      <c r="E17" s="300" t="str">
        <f>IFERROR(12/B17*'Rebate Information (Chillers-A)'!C14*'Air Cooled Chillers Savings'!F17*C17,"")</f>
        <v/>
      </c>
      <c r="F17" s="308">
        <f>IFERROR('Rebate Information (Chillers-A)'!O14,"")</f>
        <v>0</v>
      </c>
      <c r="G17" s="291" t="str">
        <f>CONCATENATE('Rebate Information (Chillers-A)'!H14," ",'Rebate Information (Chillers-A)'!G14)</f>
        <v xml:space="preserve"> </v>
      </c>
      <c r="H17" s="145" t="str">
        <f>IF(ISNUMBER('Rebate Information (Chillers-A)'!K14),'Rebate Information (Chillers-A)'!K14,"")</f>
        <v/>
      </c>
      <c r="I17" s="145">
        <f>'Rebate Information (Chillers-A)'!M14</f>
        <v>0</v>
      </c>
      <c r="J17" s="146" t="str">
        <f>IF(ISNUMBER('Rebate Information (Chillers-A)'!N14),'Rebate Information (Chillers-A)'!N14,"")</f>
        <v/>
      </c>
      <c r="K17" s="140" t="str">
        <f>IFERROR(12/'Rebate Information (Chillers-A)'!K14*'Rebate Information (Chillers-A)'!I14*'Rebate Information (Chillers-A)'!N14,"")</f>
        <v/>
      </c>
      <c r="L17" s="147" t="str">
        <f>IFERROR(12/I17*'Rebate Information (Chillers-A)'!I14*F17*'Air Cooled Chillers Savings'!J17,"")</f>
        <v/>
      </c>
      <c r="M17" s="148" t="str">
        <f t="shared" si="0"/>
        <v/>
      </c>
      <c r="N17" s="149" t="str">
        <f t="shared" si="1"/>
        <v/>
      </c>
      <c r="O17" s="184" t="str">
        <f t="shared" si="2"/>
        <v/>
      </c>
    </row>
    <row r="18" spans="1:15" ht="24" customHeight="1" x14ac:dyDescent="0.2">
      <c r="A18" s="290">
        <f>'Rebate Information (Chillers-A)'!D15</f>
        <v>0</v>
      </c>
      <c r="B18" s="139" t="str">
        <f>'Rebate Information (Chillers-A)'!L15</f>
        <v/>
      </c>
      <c r="C18" s="139">
        <f>'Rebate Information (Chillers-A)'!E15</f>
        <v>0</v>
      </c>
      <c r="D18" s="183" t="str">
        <f>IFERROR(12/'Rebate Information (Chillers-A)'!D15*'Rebate Information (Chillers-A)'!C15*'Rebate Information (Chillers-A)'!E15,"")</f>
        <v/>
      </c>
      <c r="E18" s="300" t="str">
        <f>IFERROR(12/B18*'Rebate Information (Chillers-A)'!C15*'Air Cooled Chillers Savings'!F18*C18,"")</f>
        <v/>
      </c>
      <c r="F18" s="308">
        <f>IFERROR('Rebate Information (Chillers-A)'!O15,"")</f>
        <v>0</v>
      </c>
      <c r="G18" s="291" t="str">
        <f>CONCATENATE('Rebate Information (Chillers-A)'!H15," ",'Rebate Information (Chillers-A)'!G15)</f>
        <v xml:space="preserve"> </v>
      </c>
      <c r="H18" s="145" t="str">
        <f>IF(ISNUMBER('Rebate Information (Chillers-A)'!K15),'Rebate Information (Chillers-A)'!K15,"")</f>
        <v/>
      </c>
      <c r="I18" s="145">
        <f>'Rebate Information (Chillers-A)'!M15</f>
        <v>0</v>
      </c>
      <c r="J18" s="146" t="str">
        <f>IF(ISNUMBER('Rebate Information (Chillers-A)'!N15),'Rebate Information (Chillers-A)'!N15,"")</f>
        <v/>
      </c>
      <c r="K18" s="140" t="str">
        <f>IFERROR(12/'Rebate Information (Chillers-A)'!K15*'Rebate Information (Chillers-A)'!I15*'Rebate Information (Chillers-A)'!N15,"")</f>
        <v/>
      </c>
      <c r="L18" s="147" t="str">
        <f>IFERROR(12/I18*'Rebate Information (Chillers-A)'!I15*F18*'Air Cooled Chillers Savings'!J18,"")</f>
        <v/>
      </c>
      <c r="M18" s="148" t="str">
        <f t="shared" si="0"/>
        <v/>
      </c>
      <c r="N18" s="149" t="str">
        <f t="shared" si="1"/>
        <v/>
      </c>
      <c r="O18" s="184" t="str">
        <f t="shared" si="2"/>
        <v/>
      </c>
    </row>
    <row r="19" spans="1:15" ht="24" customHeight="1" x14ac:dyDescent="0.2">
      <c r="A19" s="290">
        <f>'Rebate Information (Chillers-A)'!D16</f>
        <v>0</v>
      </c>
      <c r="B19" s="139" t="str">
        <f>'Rebate Information (Chillers-A)'!L16</f>
        <v/>
      </c>
      <c r="C19" s="139">
        <f>'Rebate Information (Chillers-A)'!E16</f>
        <v>0</v>
      </c>
      <c r="D19" s="183" t="str">
        <f>IFERROR(12/'Rebate Information (Chillers-A)'!D16*'Rebate Information (Chillers-A)'!C16*'Rebate Information (Chillers-A)'!E16,"")</f>
        <v/>
      </c>
      <c r="E19" s="300" t="str">
        <f>IFERROR(12/B19*'Rebate Information (Chillers-A)'!C16*'Air Cooled Chillers Savings'!F19*C19,"")</f>
        <v/>
      </c>
      <c r="F19" s="308">
        <f>IFERROR('Rebate Information (Chillers-A)'!O16,"")</f>
        <v>0</v>
      </c>
      <c r="G19" s="291" t="str">
        <f>CONCATENATE('Rebate Information (Chillers-A)'!H16," ",'Rebate Information (Chillers-A)'!G16)</f>
        <v xml:space="preserve"> </v>
      </c>
      <c r="H19" s="145" t="str">
        <f>IF(ISNUMBER('Rebate Information (Chillers-A)'!K16),'Rebate Information (Chillers-A)'!K16,"")</f>
        <v/>
      </c>
      <c r="I19" s="145">
        <f>'Rebate Information (Chillers-A)'!M16</f>
        <v>0</v>
      </c>
      <c r="J19" s="146" t="str">
        <f>IF(ISNUMBER('Rebate Information (Chillers-A)'!N16),'Rebate Information (Chillers-A)'!N16,"")</f>
        <v/>
      </c>
      <c r="K19" s="140" t="str">
        <f>IFERROR(12/'Rebate Information (Chillers-A)'!K16*'Rebate Information (Chillers-A)'!I16*'Rebate Information (Chillers-A)'!N16,"")</f>
        <v/>
      </c>
      <c r="L19" s="147" t="str">
        <f>IFERROR(12/I19*'Rebate Information (Chillers-A)'!I16*F19*'Air Cooled Chillers Savings'!J19,"")</f>
        <v/>
      </c>
      <c r="M19" s="148" t="str">
        <f t="shared" si="0"/>
        <v/>
      </c>
      <c r="N19" s="149" t="str">
        <f t="shared" si="1"/>
        <v/>
      </c>
      <c r="O19" s="184" t="str">
        <f t="shared" si="2"/>
        <v/>
      </c>
    </row>
    <row r="20" spans="1:15" ht="24" customHeight="1" x14ac:dyDescent="0.2">
      <c r="A20" s="290">
        <f>'Rebate Information (Chillers-A)'!D17</f>
        <v>0</v>
      </c>
      <c r="B20" s="139" t="str">
        <f>'Rebate Information (Chillers-A)'!L17</f>
        <v/>
      </c>
      <c r="C20" s="139">
        <f>'Rebate Information (Chillers-A)'!E17</f>
        <v>0</v>
      </c>
      <c r="D20" s="183" t="str">
        <f>IFERROR(12/'Rebate Information (Chillers-A)'!D17*'Rebate Information (Chillers-A)'!C17*'Rebate Information (Chillers-A)'!E17,"")</f>
        <v/>
      </c>
      <c r="E20" s="300" t="str">
        <f>IFERROR(12/B20*'Rebate Information (Chillers-A)'!C17*'Air Cooled Chillers Savings'!F20*C20,"")</f>
        <v/>
      </c>
      <c r="F20" s="308">
        <f>IFERROR('Rebate Information (Chillers-A)'!O17,"")</f>
        <v>0</v>
      </c>
      <c r="G20" s="291" t="str">
        <f>CONCATENATE('Rebate Information (Chillers-A)'!H17," ",'Rebate Information (Chillers-A)'!G17)</f>
        <v xml:space="preserve"> </v>
      </c>
      <c r="H20" s="145" t="str">
        <f>IF(ISNUMBER('Rebate Information (Chillers-A)'!K17),'Rebate Information (Chillers-A)'!K17,"")</f>
        <v/>
      </c>
      <c r="I20" s="145">
        <f>'Rebate Information (Chillers-A)'!M17</f>
        <v>0</v>
      </c>
      <c r="J20" s="146" t="str">
        <f>IF(ISNUMBER('Rebate Information (Chillers-A)'!N17),'Rebate Information (Chillers-A)'!N17,"")</f>
        <v/>
      </c>
      <c r="K20" s="140" t="str">
        <f>IFERROR(12/'Rebate Information (Chillers-A)'!K17*'Rebate Information (Chillers-A)'!I17*'Rebate Information (Chillers-A)'!N17,"")</f>
        <v/>
      </c>
      <c r="L20" s="147" t="str">
        <f>IFERROR(12/I20*'Rebate Information (Chillers-A)'!I17*F20*'Air Cooled Chillers Savings'!J20,"")</f>
        <v/>
      </c>
      <c r="M20" s="148" t="str">
        <f t="shared" si="0"/>
        <v/>
      </c>
      <c r="N20" s="149" t="str">
        <f t="shared" si="1"/>
        <v/>
      </c>
      <c r="O20" s="184" t="str">
        <f t="shared" si="2"/>
        <v/>
      </c>
    </row>
    <row r="21" spans="1:15" ht="24" customHeight="1" x14ac:dyDescent="0.2">
      <c r="A21" s="290">
        <f>'Rebate Information (Chillers-A)'!D18</f>
        <v>0</v>
      </c>
      <c r="B21" s="139" t="str">
        <f>'Rebate Information (Chillers-A)'!L18</f>
        <v/>
      </c>
      <c r="C21" s="139">
        <f>'Rebate Information (Chillers-A)'!E18</f>
        <v>0</v>
      </c>
      <c r="D21" s="183" t="str">
        <f>IFERROR(12/'Rebate Information (Chillers-A)'!D18*'Rebate Information (Chillers-A)'!C18*'Rebate Information (Chillers-A)'!E18,"")</f>
        <v/>
      </c>
      <c r="E21" s="300" t="str">
        <f>IFERROR(12/B21*'Rebate Information (Chillers-A)'!C18*'Air Cooled Chillers Savings'!F21*C21,"")</f>
        <v/>
      </c>
      <c r="F21" s="308">
        <f>IFERROR('Rebate Information (Chillers-A)'!O18,"")</f>
        <v>0</v>
      </c>
      <c r="G21" s="291" t="str">
        <f>CONCATENATE('Rebate Information (Chillers-A)'!H18," ",'Rebate Information (Chillers-A)'!G18)</f>
        <v xml:space="preserve"> </v>
      </c>
      <c r="H21" s="145" t="str">
        <f>IF(ISNUMBER('Rebate Information (Chillers-A)'!K18),'Rebate Information (Chillers-A)'!K18,"")</f>
        <v/>
      </c>
      <c r="I21" s="145">
        <f>'Rebate Information (Chillers-A)'!M18</f>
        <v>0</v>
      </c>
      <c r="J21" s="146" t="str">
        <f>IF(ISNUMBER('Rebate Information (Chillers-A)'!N18),'Rebate Information (Chillers-A)'!N18,"")</f>
        <v/>
      </c>
      <c r="K21" s="140" t="str">
        <f>IFERROR(12/'Rebate Information (Chillers-A)'!K18*'Rebate Information (Chillers-A)'!I18*'Rebate Information (Chillers-A)'!N18,"")</f>
        <v/>
      </c>
      <c r="L21" s="147" t="str">
        <f>IFERROR(12/I21*'Rebate Information (Chillers-A)'!I18*F21*'Air Cooled Chillers Savings'!J21,"")</f>
        <v/>
      </c>
      <c r="M21" s="148" t="str">
        <f t="shared" si="0"/>
        <v/>
      </c>
      <c r="N21" s="149" t="str">
        <f t="shared" si="1"/>
        <v/>
      </c>
      <c r="O21" s="184" t="str">
        <f t="shared" si="2"/>
        <v/>
      </c>
    </row>
    <row r="22" spans="1:15" ht="24" customHeight="1" thickBot="1" x14ac:dyDescent="0.25">
      <c r="A22" s="303">
        <f>'Rebate Information (Chillers-A)'!D19</f>
        <v>0</v>
      </c>
      <c r="B22" s="304" t="str">
        <f>'Rebate Information (Chillers-A)'!L19</f>
        <v/>
      </c>
      <c r="C22" s="304">
        <f>'Rebate Information (Chillers-A)'!E19</f>
        <v>0</v>
      </c>
      <c r="D22" s="305" t="str">
        <f>IFERROR(12/'Rebate Information (Chillers-A)'!D19*'Rebate Information (Chillers-A)'!C19*'Rebate Information (Chillers-A)'!E19,"")</f>
        <v/>
      </c>
      <c r="E22" s="306" t="str">
        <f>IFERROR(12/B22*'Rebate Information (Chillers-A)'!C19*'Air Cooled Chillers Savings'!F22*C22,"")</f>
        <v/>
      </c>
      <c r="F22" s="318">
        <f>IFERROR('Rebate Information (Chillers-A)'!O19,"")</f>
        <v>0</v>
      </c>
      <c r="G22" s="310" t="str">
        <f>CONCATENATE('Rebate Information (Chillers-A)'!H19," ",'Rebate Information (Chillers-A)'!G19)</f>
        <v xml:space="preserve"> </v>
      </c>
      <c r="H22" s="311" t="str">
        <f>IF(ISNUMBER('Rebate Information (Chillers-A)'!K19),'Rebate Information (Chillers-A)'!K19,"")</f>
        <v/>
      </c>
      <c r="I22" s="311">
        <f>'Rebate Information (Chillers-A)'!M19</f>
        <v>0</v>
      </c>
      <c r="J22" s="312" t="str">
        <f>IF(ISNUMBER('Rebate Information (Chillers-A)'!N19),'Rebate Information (Chillers-A)'!N19,"")</f>
        <v/>
      </c>
      <c r="K22" s="313" t="str">
        <f>IFERROR(12/'Rebate Information (Chillers-A)'!K19*'Rebate Information (Chillers-A)'!I19*'Rebate Information (Chillers-A)'!N19,"")</f>
        <v/>
      </c>
      <c r="L22" s="314" t="str">
        <f>IFERROR(12/I22*'Rebate Information (Chillers-A)'!I19*F22*'Air Cooled Chillers Savings'!J22,"")</f>
        <v/>
      </c>
      <c r="M22" s="319" t="str">
        <f t="shared" si="0"/>
        <v/>
      </c>
      <c r="N22" s="320" t="str">
        <f t="shared" si="1"/>
        <v/>
      </c>
      <c r="O22" s="321" t="str">
        <f t="shared" si="2"/>
        <v/>
      </c>
    </row>
    <row r="23" spans="1:15" ht="8.25" customHeight="1" thickBot="1" x14ac:dyDescent="0.25"/>
    <row r="24" spans="1:15" ht="21" customHeight="1" thickBot="1" x14ac:dyDescent="0.25">
      <c r="A24" s="243" t="s">
        <v>123</v>
      </c>
      <c r="B24" s="244"/>
      <c r="C24" s="245" t="s">
        <v>129</v>
      </c>
      <c r="D24" s="246" t="s">
        <v>82</v>
      </c>
      <c r="F24" s="254" t="s">
        <v>13</v>
      </c>
      <c r="G24" s="255"/>
      <c r="H24" s="255"/>
      <c r="I24" s="256" t="s">
        <v>129</v>
      </c>
      <c r="J24" s="257" t="s">
        <v>82</v>
      </c>
    </row>
    <row r="25" spans="1:15" ht="21" customHeight="1" x14ac:dyDescent="0.2">
      <c r="A25" s="247"/>
      <c r="B25" s="248" t="s">
        <v>176</v>
      </c>
      <c r="C25" s="153">
        <f>SUM(D13:D22)</f>
        <v>0</v>
      </c>
      <c r="D25" s="249">
        <f>SUM(E13:E22)</f>
        <v>0</v>
      </c>
      <c r="F25" s="258"/>
      <c r="G25" s="259"/>
      <c r="H25" s="260" t="s">
        <v>176</v>
      </c>
      <c r="I25" s="154">
        <f>SUM(K13:K22)</f>
        <v>0</v>
      </c>
      <c r="J25" s="261">
        <f>SUM(L13:L22)</f>
        <v>0</v>
      </c>
    </row>
    <row r="26" spans="1:15" ht="21" customHeight="1" thickBot="1" x14ac:dyDescent="0.25">
      <c r="A26" s="250"/>
      <c r="B26" s="251" t="s">
        <v>177</v>
      </c>
      <c r="C26" s="252"/>
      <c r="D26" s="253">
        <f>D25*$L$3</f>
        <v>0</v>
      </c>
      <c r="E26" s="242"/>
      <c r="F26" s="262"/>
      <c r="G26" s="155"/>
      <c r="H26" s="263" t="s">
        <v>178</v>
      </c>
      <c r="I26" s="264"/>
      <c r="J26" s="265">
        <f>J25*$L$3</f>
        <v>0</v>
      </c>
    </row>
    <row r="27" spans="1:15" ht="13.5" thickBot="1" x14ac:dyDescent="0.25">
      <c r="E27" s="71"/>
    </row>
    <row r="28" spans="1:15" ht="21" customHeight="1" thickBot="1" x14ac:dyDescent="0.25">
      <c r="E28" s="71"/>
      <c r="F28" s="266" t="s">
        <v>80</v>
      </c>
      <c r="G28" s="267"/>
      <c r="H28" s="267"/>
      <c r="I28" s="268" t="s">
        <v>129</v>
      </c>
      <c r="J28" s="269" t="s">
        <v>82</v>
      </c>
    </row>
    <row r="29" spans="1:15" ht="21" customHeight="1" x14ac:dyDescent="0.2">
      <c r="F29" s="270"/>
      <c r="G29" s="271"/>
      <c r="H29" s="272" t="s">
        <v>179</v>
      </c>
      <c r="I29" s="166">
        <f>(C25-I25)*0.9</f>
        <v>0</v>
      </c>
      <c r="J29" s="315">
        <f>D25-J25</f>
        <v>0</v>
      </c>
    </row>
    <row r="30" spans="1:15" ht="21" customHeight="1" thickBot="1" x14ac:dyDescent="0.25">
      <c r="F30" s="274"/>
      <c r="G30" s="157"/>
      <c r="H30" s="275" t="s">
        <v>180</v>
      </c>
      <c r="I30" s="156"/>
      <c r="J30" s="276">
        <f>D26-J26</f>
        <v>0</v>
      </c>
    </row>
    <row r="31" spans="1:15" ht="23.25" customHeight="1" x14ac:dyDescent="0.2"/>
  </sheetData>
  <sheetProtection selectLockedCells="1"/>
  <mergeCells count="6">
    <mergeCell ref="A1:O1"/>
    <mergeCell ref="A6:O6"/>
    <mergeCell ref="B7:H7"/>
    <mergeCell ref="M8:O8"/>
    <mergeCell ref="G8:L8"/>
    <mergeCell ref="A8:E8"/>
  </mergeCells>
  <conditionalFormatting sqref="G11 O11 A11:D22 F11:F22 N12:O22 E13:E22 G13:G22 K13:K22">
    <cfRule type="cellIs" dxfId="1" priority="1" stopIfTrue="1" operator="equal">
      <formula>0</formula>
    </cfRule>
  </conditionalFormatting>
  <printOptions horizontalCentered="1"/>
  <pageMargins left="0.2" right="0.2" top="0.31" bottom="0.75" header="0.3" footer="0.3"/>
  <pageSetup scale="82" orientation="landscape"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pageSetUpPr fitToPage="1"/>
  </sheetPr>
  <dimension ref="B3:K51"/>
  <sheetViews>
    <sheetView zoomScale="85" zoomScaleNormal="85" zoomScaleSheetLayoutView="100" workbookViewId="0">
      <selection activeCell="B70" sqref="B70"/>
    </sheetView>
  </sheetViews>
  <sheetFormatPr defaultColWidth="9.140625" defaultRowHeight="15" x14ac:dyDescent="0.25"/>
  <cols>
    <col min="1" max="1" width="5.42578125" style="26" customWidth="1"/>
    <col min="2" max="2" width="19.85546875" style="26" customWidth="1"/>
    <col min="3" max="3" width="18.5703125" style="26" customWidth="1"/>
    <col min="4" max="4" width="16" style="26" customWidth="1"/>
    <col min="5" max="5" width="18.140625" style="26" customWidth="1"/>
    <col min="6" max="6" width="15.42578125" style="26" customWidth="1"/>
    <col min="7" max="7" width="9.140625" style="26"/>
    <col min="8" max="8" width="9.140625" style="26" customWidth="1"/>
    <col min="9" max="9" width="5.5703125" style="26" customWidth="1"/>
    <col min="10" max="10" width="9.140625" style="26" customWidth="1"/>
    <col min="11" max="11" width="1.42578125" style="26" customWidth="1"/>
    <col min="12" max="16384" width="9.140625" style="26"/>
  </cols>
  <sheetData>
    <row r="3" spans="2:11" ht="21.75" customHeight="1" x14ac:dyDescent="0.25">
      <c r="B3" s="14" t="s">
        <v>186</v>
      </c>
      <c r="C3" s="1">
        <f>'Customer Information'!CustomerName</f>
        <v>0</v>
      </c>
    </row>
    <row r="4" spans="2:11" ht="17.25" customHeight="1" x14ac:dyDescent="0.35">
      <c r="B4" s="14" t="s">
        <v>185</v>
      </c>
      <c r="C4" s="1">
        <f>'Customer Information'!CustomerInstallAddress</f>
        <v>0</v>
      </c>
      <c r="D4" s="772">
        <f>'Customer Information'!B10</f>
        <v>0</v>
      </c>
      <c r="E4" s="772"/>
    </row>
    <row r="5" spans="2:11" x14ac:dyDescent="0.25">
      <c r="B5" s="773" t="s">
        <v>84</v>
      </c>
      <c r="C5" s="773"/>
      <c r="D5" s="773"/>
      <c r="E5" s="773"/>
      <c r="F5" s="773"/>
      <c r="G5" s="773"/>
      <c r="H5" s="773"/>
      <c r="I5" s="773"/>
      <c r="J5" s="773"/>
      <c r="K5" s="36"/>
    </row>
    <row r="6" spans="2:11" ht="23.25" customHeight="1" x14ac:dyDescent="0.25">
      <c r="C6" s="37"/>
      <c r="D6" s="38" t="s">
        <v>85</v>
      </c>
      <c r="E6" s="38" t="s">
        <v>86</v>
      </c>
      <c r="F6" s="38" t="s">
        <v>87</v>
      </c>
    </row>
    <row r="7" spans="2:11" ht="15.75" x14ac:dyDescent="0.25">
      <c r="C7" s="39" t="s">
        <v>88</v>
      </c>
      <c r="D7" s="40">
        <f>'Rooftop Savings'!D22+'Water Cooled Chillers Savings'!D26+'Air Cooled Chillers Savings'!D26</f>
        <v>0</v>
      </c>
      <c r="E7" s="40">
        <f>'Rooftop Savings'!J22+'Water Cooled Chillers Savings'!J26+'Air Cooled Chillers Savings'!J26</f>
        <v>0</v>
      </c>
      <c r="F7" s="41">
        <f>D7-E7</f>
        <v>0</v>
      </c>
    </row>
    <row r="8" spans="2:11" ht="15.75" x14ac:dyDescent="0.25">
      <c r="C8" s="42" t="s">
        <v>89</v>
      </c>
      <c r="D8" s="43">
        <f>'Rooftop Savings'!C21+'Water Cooled Chillers Savings'!C25+'Air Cooled Chillers Savings'!C25</f>
        <v>0</v>
      </c>
      <c r="E8" s="43">
        <f>'Rooftop Savings'!I21+'Water Cooled Chillers Savings'!I25+'Air Cooled Chillers Savings'!I25</f>
        <v>0</v>
      </c>
      <c r="F8" s="43">
        <f>D8-E8</f>
        <v>0</v>
      </c>
    </row>
    <row r="9" spans="2:11" ht="15.75" x14ac:dyDescent="0.25">
      <c r="C9" s="42" t="s">
        <v>90</v>
      </c>
      <c r="D9" s="43">
        <f>'Rooftop Savings'!D21+'Water Cooled Chillers Savings'!D25+'Air Cooled Chillers Savings'!D25</f>
        <v>0</v>
      </c>
      <c r="E9" s="43">
        <f>'Rooftop Savings'!J21+'Water Cooled Chillers Savings'!J25+'Air Cooled Chillers Savings'!J25</f>
        <v>0</v>
      </c>
      <c r="F9" s="43">
        <f>D9-E9</f>
        <v>0</v>
      </c>
    </row>
    <row r="10" spans="2:11" ht="18" customHeight="1" x14ac:dyDescent="0.25"/>
    <row r="11" spans="2:11" hidden="1" x14ac:dyDescent="0.25">
      <c r="E11" s="26">
        <v>0</v>
      </c>
      <c r="F11" s="44">
        <f>-F29</f>
        <v>0</v>
      </c>
    </row>
    <row r="12" spans="2:11" hidden="1" x14ac:dyDescent="0.25">
      <c r="D12" s="173">
        <f>F12</f>
        <v>0</v>
      </c>
      <c r="E12" s="45" t="s">
        <v>91</v>
      </c>
      <c r="F12" s="46">
        <f>F7</f>
        <v>0</v>
      </c>
    </row>
    <row r="13" spans="2:11" hidden="1" x14ac:dyDescent="0.25">
      <c r="D13" s="173">
        <f>D12+F13</f>
        <v>0</v>
      </c>
      <c r="E13" s="45" t="s">
        <v>92</v>
      </c>
      <c r="F13" s="46">
        <f t="shared" ref="F13:F21" si="0">F12</f>
        <v>0</v>
      </c>
    </row>
    <row r="14" spans="2:11" hidden="1" x14ac:dyDescent="0.25">
      <c r="D14" s="173">
        <f>D13+F14</f>
        <v>0</v>
      </c>
      <c r="E14" s="45" t="s">
        <v>93</v>
      </c>
      <c r="F14" s="46">
        <f t="shared" si="0"/>
        <v>0</v>
      </c>
    </row>
    <row r="15" spans="2:11" hidden="1" x14ac:dyDescent="0.25">
      <c r="D15" s="173">
        <f>D14+F15</f>
        <v>0</v>
      </c>
      <c r="E15" s="45" t="s">
        <v>94</v>
      </c>
      <c r="F15" s="46">
        <f t="shared" si="0"/>
        <v>0</v>
      </c>
    </row>
    <row r="16" spans="2:11" hidden="1" x14ac:dyDescent="0.25">
      <c r="D16" s="173">
        <f>D15+F16</f>
        <v>0</v>
      </c>
      <c r="E16" s="45" t="s">
        <v>95</v>
      </c>
      <c r="F16" s="46">
        <f t="shared" si="0"/>
        <v>0</v>
      </c>
    </row>
    <row r="17" spans="2:10" hidden="1" x14ac:dyDescent="0.25">
      <c r="D17" s="174"/>
      <c r="E17" s="26">
        <v>6</v>
      </c>
      <c r="F17" s="46">
        <f t="shared" si="0"/>
        <v>0</v>
      </c>
    </row>
    <row r="18" spans="2:10" hidden="1" x14ac:dyDescent="0.25">
      <c r="E18" s="26">
        <v>7</v>
      </c>
      <c r="F18" s="46">
        <f t="shared" si="0"/>
        <v>0</v>
      </c>
    </row>
    <row r="19" spans="2:10" hidden="1" x14ac:dyDescent="0.25">
      <c r="E19" s="26">
        <v>8</v>
      </c>
      <c r="F19" s="46">
        <f t="shared" si="0"/>
        <v>0</v>
      </c>
    </row>
    <row r="20" spans="2:10" hidden="1" x14ac:dyDescent="0.25">
      <c r="E20" s="26">
        <v>9</v>
      </c>
      <c r="F20" s="46">
        <f t="shared" si="0"/>
        <v>0</v>
      </c>
    </row>
    <row r="21" spans="2:10" hidden="1" x14ac:dyDescent="0.25">
      <c r="E21" s="26">
        <v>10</v>
      </c>
      <c r="F21" s="46">
        <f t="shared" si="0"/>
        <v>0</v>
      </c>
    </row>
    <row r="24" spans="2:10" ht="169.5" customHeight="1" x14ac:dyDescent="0.25"/>
    <row r="25" spans="2:10" x14ac:dyDescent="0.25">
      <c r="B25" s="773" t="s">
        <v>222</v>
      </c>
      <c r="C25" s="773"/>
      <c r="D25" s="773"/>
      <c r="E25" s="773"/>
      <c r="F25" s="773"/>
      <c r="G25" s="773"/>
      <c r="H25" s="773"/>
      <c r="I25" s="773"/>
      <c r="J25" s="773"/>
    </row>
    <row r="26" spans="2:10" ht="20.25" customHeight="1" x14ac:dyDescent="0.25"/>
    <row r="27" spans="2:10" ht="15.75" x14ac:dyDescent="0.25">
      <c r="C27" s="39" t="s">
        <v>225</v>
      </c>
      <c r="D27" s="47"/>
      <c r="E27" s="47"/>
      <c r="F27" s="79">
        <f>SUM('Rebate Information (Rooftops)'!N11:N17,'Rebate Information (Chillers-W)'!Q10:Q19,'Rebate Information (Chillers-A)'!Q10:Q19)</f>
        <v>0</v>
      </c>
      <c r="G27" s="26">
        <f>SUM('Rebate Information (Chillers-W)'!Q10:Q19)</f>
        <v>0</v>
      </c>
      <c r="H27" s="26">
        <f>SUM('Rebate Information (Chillers-A)'!Q10:Q19)</f>
        <v>0</v>
      </c>
    </row>
    <row r="28" spans="2:10" ht="15.75" x14ac:dyDescent="0.25">
      <c r="C28" s="42" t="s">
        <v>96</v>
      </c>
      <c r="D28" s="48"/>
      <c r="E28" s="48"/>
      <c r="F28" s="80">
        <f>RooftopTotal+WaterChillerTotal+AirChillerTotal</f>
        <v>0</v>
      </c>
    </row>
    <row r="29" spans="2:10" ht="15.75" x14ac:dyDescent="0.25">
      <c r="C29" s="42" t="s">
        <v>223</v>
      </c>
      <c r="D29" s="48"/>
      <c r="E29" s="48"/>
      <c r="F29" s="109">
        <f>IF(F27-F28&lt;0, F28, F27-F28)</f>
        <v>0</v>
      </c>
    </row>
    <row r="30" spans="2:10" ht="15.75" x14ac:dyDescent="0.25">
      <c r="C30" s="42" t="s">
        <v>226</v>
      </c>
      <c r="D30" s="48"/>
      <c r="E30" s="48"/>
      <c r="F30" s="109">
        <f>SUM('Rooftop Savings'!J26,'Water Cooled Chillers Savings'!J30,'Air Cooled Chillers Savings'!J30)</f>
        <v>0</v>
      </c>
    </row>
    <row r="31" spans="2:10" ht="15.75" x14ac:dyDescent="0.25">
      <c r="C31" s="42" t="s">
        <v>97</v>
      </c>
      <c r="D31" s="48"/>
      <c r="E31" s="48"/>
      <c r="F31" s="190" t="e">
        <f>IF(F29&lt;0,"N/A",(F29/F30))</f>
        <v>#DIV/0!</v>
      </c>
    </row>
    <row r="32" spans="2:10" ht="15.75" x14ac:dyDescent="0.25">
      <c r="C32" s="42" t="s">
        <v>224</v>
      </c>
      <c r="D32" s="48"/>
      <c r="E32" s="48"/>
      <c r="F32" s="109">
        <f>(SUM('Rebate Information (Rooftops)'!M11:M17)+SUM('Rebate Information (Chillers-W)'!Q10:Q19)+SUM('Rebate Information (Chillers-A)'!Q10:Q19))-(SUM('Rebate Information (Rooftops)'!T18)+SUM('Rebate Information (Chillers-W)'!T20:U20)+SUM('Rebate Information (Chillers-A)'!U20:V20))</f>
        <v>0</v>
      </c>
      <c r="H32" s="187"/>
      <c r="J32" s="187"/>
    </row>
    <row r="35" spans="2:10" x14ac:dyDescent="0.25">
      <c r="B35" s="773" t="s">
        <v>98</v>
      </c>
      <c r="C35" s="773"/>
      <c r="D35" s="773"/>
      <c r="E35" s="773"/>
      <c r="F35" s="773"/>
      <c r="G35" s="773"/>
      <c r="H35" s="773"/>
      <c r="I35" s="773"/>
      <c r="J35" s="773"/>
    </row>
    <row r="37" spans="2:10" ht="15.75" x14ac:dyDescent="0.25">
      <c r="B37" s="37"/>
      <c r="C37" s="37"/>
      <c r="D37" s="49" t="s">
        <v>99</v>
      </c>
      <c r="E37" s="50">
        <f>F9*1.55</f>
        <v>0</v>
      </c>
      <c r="F37" s="37" t="s">
        <v>100</v>
      </c>
      <c r="G37" s="37"/>
    </row>
    <row r="38" spans="2:10" ht="15.75" x14ac:dyDescent="0.25">
      <c r="B38" s="37"/>
      <c r="C38" s="37"/>
      <c r="D38" s="37"/>
      <c r="E38" s="37"/>
      <c r="F38" s="37"/>
      <c r="G38" s="37"/>
    </row>
    <row r="39" spans="2:10" ht="15.75" x14ac:dyDescent="0.25">
      <c r="B39" s="37" t="s">
        <v>101</v>
      </c>
      <c r="C39" s="37"/>
      <c r="D39" s="37"/>
      <c r="E39" s="37"/>
      <c r="F39" s="37"/>
      <c r="G39" s="37"/>
    </row>
    <row r="40" spans="2:10" ht="18" customHeight="1" x14ac:dyDescent="0.25">
      <c r="B40" s="37"/>
      <c r="C40" s="51">
        <f>E37*0.05</f>
        <v>0</v>
      </c>
      <c r="D40" s="37" t="s">
        <v>102</v>
      </c>
      <c r="E40" s="37"/>
      <c r="F40" s="37"/>
      <c r="G40" s="37"/>
    </row>
    <row r="41" spans="2:10" ht="18" customHeight="1" x14ac:dyDescent="0.25">
      <c r="B41" s="37"/>
      <c r="C41" s="52">
        <f>C40/522</f>
        <v>0</v>
      </c>
      <c r="D41" s="37" t="s">
        <v>103</v>
      </c>
      <c r="E41" s="37"/>
      <c r="F41" s="37"/>
      <c r="G41" s="37"/>
    </row>
    <row r="42" spans="2:10" ht="18" customHeight="1" x14ac:dyDescent="0.25">
      <c r="B42" s="37"/>
      <c r="C42" s="53">
        <f>E37/269433</f>
        <v>0</v>
      </c>
      <c r="D42" s="37" t="s">
        <v>104</v>
      </c>
      <c r="E42" s="37"/>
      <c r="F42" s="37"/>
      <c r="G42" s="37"/>
    </row>
    <row r="43" spans="2:10" ht="13.7" customHeight="1" x14ac:dyDescent="0.25">
      <c r="B43" s="37"/>
      <c r="C43" s="37"/>
      <c r="D43" s="37"/>
      <c r="E43" s="37"/>
      <c r="F43" s="37"/>
      <c r="G43" s="37"/>
    </row>
    <row r="44" spans="2:10" ht="16.5" customHeight="1" thickBot="1" x14ac:dyDescent="0.3">
      <c r="B44" s="54"/>
      <c r="C44" s="54"/>
      <c r="D44" s="54"/>
      <c r="E44" s="54"/>
      <c r="F44" s="54"/>
      <c r="G44" s="54"/>
      <c r="H44" s="55"/>
      <c r="I44" s="55"/>
      <c r="J44" s="55"/>
    </row>
    <row r="45" spans="2:10" ht="8.25" customHeight="1" x14ac:dyDescent="0.25"/>
    <row r="46" spans="2:10" x14ac:dyDescent="0.25">
      <c r="B46" s="45" t="s">
        <v>105</v>
      </c>
      <c r="C46" s="56"/>
      <c r="G46" s="57" t="s">
        <v>77</v>
      </c>
      <c r="H46" s="57" t="s">
        <v>78</v>
      </c>
    </row>
    <row r="47" spans="2:10" x14ac:dyDescent="0.25">
      <c r="C47" s="56">
        <f>'Customer Information'!ContractorName</f>
        <v>0</v>
      </c>
      <c r="G47" s="58" t="s">
        <v>106</v>
      </c>
      <c r="H47" s="58" t="s">
        <v>107</v>
      </c>
    </row>
    <row r="48" spans="2:10" x14ac:dyDescent="0.25">
      <c r="C48" s="56">
        <f>'Customer Information'!ContractorAddress</f>
        <v>0</v>
      </c>
      <c r="F48" s="59" t="s">
        <v>108</v>
      </c>
      <c r="G48" s="60">
        <v>10</v>
      </c>
      <c r="H48" s="61">
        <v>0.1</v>
      </c>
    </row>
    <row r="49" spans="3:10" x14ac:dyDescent="0.25">
      <c r="C49" s="56"/>
    </row>
    <row r="50" spans="3:10" x14ac:dyDescent="0.25">
      <c r="C50" s="56">
        <f>'Customer Information'!ContractorPhone</f>
        <v>0</v>
      </c>
      <c r="H50" s="774" t="s">
        <v>109</v>
      </c>
      <c r="I50" s="774"/>
      <c r="J50" s="62">
        <f ca="1">TODAY()</f>
        <v>45762</v>
      </c>
    </row>
    <row r="51" spans="3:10" x14ac:dyDescent="0.25">
      <c r="C51" s="56">
        <f>'Customer Information'!ContractorEmail</f>
        <v>0</v>
      </c>
    </row>
  </sheetData>
  <sheetProtection selectLockedCells="1"/>
  <mergeCells count="5">
    <mergeCell ref="D4:E4"/>
    <mergeCell ref="B5:J5"/>
    <mergeCell ref="B25:J25"/>
    <mergeCell ref="B35:J35"/>
    <mergeCell ref="H50:I50"/>
  </mergeCells>
  <phoneticPr fontId="0" type="noConversion"/>
  <conditionalFormatting sqref="D4:E4 C46:C51">
    <cfRule type="cellIs" dxfId="0" priority="2" stopIfTrue="1" operator="equal">
      <formula>0</formula>
    </cfRule>
  </conditionalFormatting>
  <printOptions horizontalCentered="1"/>
  <pageMargins left="0" right="0" top="0" bottom="0" header="0" footer="0"/>
  <pageSetup scale="83"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O79"/>
  <sheetViews>
    <sheetView topLeftCell="A43" workbookViewId="0">
      <selection activeCell="B24" sqref="B24:N24"/>
    </sheetView>
  </sheetViews>
  <sheetFormatPr defaultRowHeight="12.75" x14ac:dyDescent="0.2"/>
  <cols>
    <col min="2" max="2" width="7.28515625" customWidth="1"/>
    <col min="9" max="9" width="8.42578125" customWidth="1"/>
  </cols>
  <sheetData>
    <row r="1" spans="1:14" ht="13.5" thickBot="1" x14ac:dyDescent="0.25">
      <c r="A1" s="785">
        <f>'Rebate Information (Rooftops)'!S4</f>
        <v>45211</v>
      </c>
      <c r="B1" s="786"/>
      <c r="C1" s="786"/>
      <c r="D1" s="786"/>
      <c r="E1" s="786"/>
      <c r="F1" s="786"/>
      <c r="G1" s="786"/>
      <c r="H1" s="786"/>
      <c r="I1" s="786"/>
      <c r="J1" s="786"/>
      <c r="K1" s="786"/>
      <c r="L1" s="786"/>
      <c r="M1" s="786"/>
      <c r="N1" s="786"/>
    </row>
    <row r="2" spans="1:14" ht="15.75" thickBot="1" x14ac:dyDescent="0.25">
      <c r="A2" s="365" t="s">
        <v>347</v>
      </c>
      <c r="B2" s="366"/>
      <c r="C2" s="366"/>
      <c r="D2" s="366"/>
      <c r="E2" s="366"/>
      <c r="F2" s="366"/>
      <c r="G2" s="366"/>
      <c r="H2" s="366"/>
      <c r="I2" s="366"/>
      <c r="J2" s="366"/>
      <c r="K2" s="366"/>
      <c r="L2" s="366"/>
      <c r="M2" s="366"/>
      <c r="N2" s="367"/>
    </row>
    <row r="3" spans="1:14" ht="5.0999999999999996" customHeight="1" x14ac:dyDescent="0.2">
      <c r="A3" s="784"/>
      <c r="B3" s="784"/>
      <c r="C3" s="784"/>
      <c r="D3" s="784"/>
      <c r="E3" s="784"/>
      <c r="F3" s="784"/>
      <c r="G3" s="784"/>
      <c r="H3" s="784"/>
      <c r="I3" s="784"/>
      <c r="J3" s="784"/>
      <c r="K3" s="784"/>
      <c r="L3" s="784"/>
      <c r="M3" s="784"/>
      <c r="N3" s="784"/>
    </row>
    <row r="4" spans="1:14" x14ac:dyDescent="0.2">
      <c r="A4" s="452" t="s">
        <v>327</v>
      </c>
      <c r="B4" s="787" t="s">
        <v>337</v>
      </c>
      <c r="C4" s="780"/>
      <c r="D4" s="780"/>
      <c r="E4" s="780"/>
      <c r="F4" s="780"/>
      <c r="G4" s="780"/>
      <c r="H4" s="780"/>
      <c r="I4" s="780"/>
      <c r="J4" s="780"/>
      <c r="K4" s="780"/>
      <c r="L4" s="780"/>
      <c r="M4" s="780"/>
      <c r="N4" s="780"/>
    </row>
    <row r="5" spans="1:14" ht="12.6" customHeight="1" x14ac:dyDescent="0.2">
      <c r="A5" s="453"/>
      <c r="B5" s="780" t="s">
        <v>287</v>
      </c>
      <c r="C5" s="780"/>
      <c r="D5" s="780"/>
      <c r="E5" s="780"/>
      <c r="F5" s="780"/>
      <c r="G5" s="780"/>
      <c r="H5" s="780"/>
      <c r="I5" s="780"/>
      <c r="J5" s="780"/>
      <c r="K5" s="780"/>
      <c r="L5" s="780"/>
      <c r="M5" s="780"/>
      <c r="N5" s="780"/>
    </row>
    <row r="6" spans="1:14" ht="12.6" customHeight="1" x14ac:dyDescent="0.2">
      <c r="A6" s="453"/>
      <c r="B6" s="780" t="s">
        <v>288</v>
      </c>
      <c r="C6" s="780"/>
      <c r="D6" s="780"/>
      <c r="E6" s="780"/>
      <c r="F6" s="780"/>
      <c r="G6" s="780"/>
      <c r="H6" s="780"/>
      <c r="I6" s="780"/>
      <c r="J6" s="780"/>
      <c r="K6" s="780"/>
      <c r="L6" s="780"/>
      <c r="M6" s="780"/>
      <c r="N6" s="780"/>
    </row>
    <row r="7" spans="1:14" ht="5.0999999999999996" customHeight="1" x14ac:dyDescent="0.2">
      <c r="A7" s="778"/>
      <c r="B7" s="779"/>
      <c r="C7" s="779"/>
      <c r="D7" s="779"/>
      <c r="E7" s="779"/>
      <c r="F7" s="779"/>
      <c r="G7" s="779"/>
      <c r="H7" s="779"/>
      <c r="I7" s="779"/>
      <c r="J7" s="779"/>
      <c r="K7" s="779"/>
      <c r="L7" s="779"/>
      <c r="M7" s="779"/>
      <c r="N7" s="779"/>
    </row>
    <row r="8" spans="1:14" x14ac:dyDescent="0.2">
      <c r="A8" s="455" t="s">
        <v>328</v>
      </c>
      <c r="B8" s="787" t="s">
        <v>338</v>
      </c>
      <c r="C8" s="787"/>
      <c r="D8" s="787"/>
      <c r="E8" s="787"/>
      <c r="F8" s="787"/>
      <c r="G8" s="787"/>
      <c r="H8" s="787"/>
      <c r="I8" s="787"/>
      <c r="J8" s="787"/>
      <c r="K8" s="787"/>
      <c r="L8" s="787"/>
      <c r="M8" s="787"/>
      <c r="N8" s="787"/>
    </row>
    <row r="9" spans="1:14" ht="12.6" customHeight="1" x14ac:dyDescent="0.2">
      <c r="A9" s="453"/>
      <c r="B9" s="780" t="s">
        <v>387</v>
      </c>
      <c r="C9" s="780"/>
      <c r="D9" s="780"/>
      <c r="E9" s="780"/>
      <c r="F9" s="780"/>
      <c r="G9" s="780"/>
      <c r="H9" s="780"/>
      <c r="I9" s="780"/>
      <c r="J9" s="780"/>
      <c r="K9" s="780"/>
      <c r="L9" s="780"/>
      <c r="M9" s="780"/>
      <c r="N9" s="780"/>
    </row>
    <row r="10" spans="1:14" ht="12.6" customHeight="1" x14ac:dyDescent="0.2">
      <c r="A10" s="453"/>
      <c r="B10" s="780" t="s">
        <v>388</v>
      </c>
      <c r="C10" s="780"/>
      <c r="D10" s="780"/>
      <c r="E10" s="780"/>
      <c r="F10" s="780"/>
      <c r="G10" s="780"/>
      <c r="H10" s="780"/>
      <c r="I10" s="780"/>
      <c r="J10" s="780"/>
      <c r="K10" s="780"/>
      <c r="L10" s="780"/>
      <c r="M10" s="780"/>
      <c r="N10" s="780"/>
    </row>
    <row r="11" spans="1:14" ht="12.6" customHeight="1" x14ac:dyDescent="0.2">
      <c r="A11" s="453"/>
      <c r="B11" s="780" t="s">
        <v>289</v>
      </c>
      <c r="C11" s="780"/>
      <c r="D11" s="780"/>
      <c r="E11" s="780"/>
      <c r="F11" s="780"/>
      <c r="G11" s="780"/>
      <c r="H11" s="780"/>
      <c r="I11" s="780"/>
      <c r="J11" s="780"/>
      <c r="K11" s="780"/>
      <c r="L11" s="780"/>
      <c r="M11" s="780"/>
      <c r="N11" s="780"/>
    </row>
    <row r="12" spans="1:14" ht="5.0999999999999996" customHeight="1" x14ac:dyDescent="0.2">
      <c r="A12" s="778"/>
      <c r="B12" s="779"/>
      <c r="C12" s="779"/>
      <c r="D12" s="779"/>
      <c r="E12" s="779"/>
      <c r="F12" s="779"/>
      <c r="G12" s="779"/>
      <c r="H12" s="779"/>
      <c r="I12" s="779"/>
      <c r="J12" s="779"/>
      <c r="K12" s="779"/>
      <c r="L12" s="779"/>
      <c r="M12" s="779"/>
      <c r="N12" s="779"/>
    </row>
    <row r="13" spans="1:14" x14ac:dyDescent="0.2">
      <c r="A13" s="452" t="s">
        <v>329</v>
      </c>
      <c r="B13" s="787" t="s">
        <v>339</v>
      </c>
      <c r="C13" s="780"/>
      <c r="D13" s="780"/>
      <c r="E13" s="780"/>
      <c r="F13" s="780"/>
      <c r="G13" s="780"/>
      <c r="H13" s="780"/>
      <c r="I13" s="780"/>
      <c r="J13" s="780"/>
      <c r="K13" s="780"/>
      <c r="L13" s="780"/>
      <c r="M13" s="780"/>
      <c r="N13" s="780"/>
    </row>
    <row r="14" spans="1:14" ht="12.6" customHeight="1" x14ac:dyDescent="0.2">
      <c r="A14" s="453"/>
      <c r="B14" s="780" t="s">
        <v>290</v>
      </c>
      <c r="C14" s="780"/>
      <c r="D14" s="780"/>
      <c r="E14" s="780"/>
      <c r="F14" s="780"/>
      <c r="G14" s="780"/>
      <c r="H14" s="780"/>
      <c r="I14" s="780"/>
      <c r="J14" s="780"/>
      <c r="K14" s="780"/>
      <c r="L14" s="780"/>
      <c r="M14" s="780"/>
      <c r="N14" s="780"/>
    </row>
    <row r="15" spans="1:14" ht="12.6" customHeight="1" x14ac:dyDescent="0.2">
      <c r="A15" s="453"/>
      <c r="B15" s="780" t="s">
        <v>291</v>
      </c>
      <c r="C15" s="780"/>
      <c r="D15" s="780"/>
      <c r="E15" s="780"/>
      <c r="F15" s="780"/>
      <c r="G15" s="780"/>
      <c r="H15" s="780"/>
      <c r="I15" s="780"/>
      <c r="J15" s="780"/>
      <c r="K15" s="780"/>
      <c r="L15" s="780"/>
      <c r="M15" s="780"/>
      <c r="N15" s="780"/>
    </row>
    <row r="16" spans="1:14" ht="5.0999999999999996" customHeight="1" x14ac:dyDescent="0.2">
      <c r="A16" s="778"/>
      <c r="B16" s="779"/>
      <c r="C16" s="779"/>
      <c r="D16" s="779"/>
      <c r="E16" s="779"/>
      <c r="F16" s="779"/>
      <c r="G16" s="779"/>
      <c r="H16" s="779"/>
      <c r="I16" s="779"/>
      <c r="J16" s="779"/>
      <c r="K16" s="779"/>
      <c r="L16" s="779"/>
      <c r="M16" s="779"/>
      <c r="N16" s="779"/>
    </row>
    <row r="17" spans="1:14" x14ac:dyDescent="0.2">
      <c r="A17" s="452" t="s">
        <v>330</v>
      </c>
      <c r="B17" s="787" t="s">
        <v>340</v>
      </c>
      <c r="C17" s="780"/>
      <c r="D17" s="780"/>
      <c r="E17" s="780"/>
      <c r="F17" s="780"/>
      <c r="G17" s="780"/>
      <c r="H17" s="780"/>
      <c r="I17" s="780"/>
      <c r="J17" s="780"/>
      <c r="K17" s="780"/>
      <c r="L17" s="780"/>
      <c r="M17" s="780"/>
      <c r="N17" s="780"/>
    </row>
    <row r="18" spans="1:14" ht="12.6" customHeight="1" x14ac:dyDescent="0.2">
      <c r="A18" s="453"/>
      <c r="B18" s="780" t="s">
        <v>292</v>
      </c>
      <c r="C18" s="780"/>
      <c r="D18" s="780"/>
      <c r="E18" s="780"/>
      <c r="F18" s="780"/>
      <c r="G18" s="780"/>
      <c r="H18" s="780"/>
      <c r="I18" s="780"/>
      <c r="J18" s="780"/>
      <c r="K18" s="780"/>
      <c r="L18" s="780"/>
      <c r="M18" s="780"/>
      <c r="N18" s="780"/>
    </row>
    <row r="19" spans="1:14" ht="12.6" customHeight="1" x14ac:dyDescent="0.2">
      <c r="A19" s="453"/>
      <c r="B19" s="780" t="s">
        <v>293</v>
      </c>
      <c r="C19" s="780"/>
      <c r="D19" s="780"/>
      <c r="E19" s="780"/>
      <c r="F19" s="780"/>
      <c r="G19" s="780"/>
      <c r="H19" s="780"/>
      <c r="I19" s="780"/>
      <c r="J19" s="780"/>
      <c r="K19" s="780"/>
      <c r="L19" s="780"/>
      <c r="M19" s="780"/>
      <c r="N19" s="780"/>
    </row>
    <row r="20" spans="1:14" ht="12.6" customHeight="1" x14ac:dyDescent="0.2">
      <c r="A20" s="453"/>
      <c r="B20" s="780" t="s">
        <v>294</v>
      </c>
      <c r="C20" s="780"/>
      <c r="D20" s="780"/>
      <c r="E20" s="780"/>
      <c r="F20" s="780"/>
      <c r="G20" s="780"/>
      <c r="H20" s="780"/>
      <c r="I20" s="780"/>
      <c r="J20" s="780"/>
      <c r="K20" s="780"/>
      <c r="L20" s="780"/>
      <c r="M20" s="780"/>
      <c r="N20" s="780"/>
    </row>
    <row r="21" spans="1:14" ht="5.0999999999999996" customHeight="1" x14ac:dyDescent="0.2">
      <c r="A21" s="778"/>
      <c r="B21" s="779"/>
      <c r="C21" s="779"/>
      <c r="D21" s="779"/>
      <c r="E21" s="779"/>
      <c r="F21" s="779"/>
      <c r="G21" s="779"/>
      <c r="H21" s="779"/>
      <c r="I21" s="779"/>
      <c r="J21" s="779"/>
      <c r="K21" s="779"/>
      <c r="L21" s="779"/>
      <c r="M21" s="779"/>
      <c r="N21" s="779"/>
    </row>
    <row r="22" spans="1:14" x14ac:dyDescent="0.2">
      <c r="A22" s="452" t="s">
        <v>331</v>
      </c>
      <c r="B22" s="787" t="s">
        <v>341</v>
      </c>
      <c r="C22" s="780"/>
      <c r="D22" s="780"/>
      <c r="E22" s="780"/>
      <c r="F22" s="780"/>
      <c r="G22" s="780"/>
      <c r="H22" s="780"/>
      <c r="I22" s="780"/>
      <c r="J22" s="780"/>
      <c r="K22" s="780"/>
      <c r="L22" s="780"/>
      <c r="M22" s="780"/>
      <c r="N22" s="780"/>
    </row>
    <row r="23" spans="1:14" ht="12.6" customHeight="1" x14ac:dyDescent="0.2">
      <c r="A23" s="453"/>
      <c r="B23" s="780" t="s">
        <v>295</v>
      </c>
      <c r="C23" s="780"/>
      <c r="D23" s="780"/>
      <c r="E23" s="780"/>
      <c r="F23" s="780"/>
      <c r="G23" s="780"/>
      <c r="H23" s="780"/>
      <c r="I23" s="780"/>
      <c r="J23" s="780"/>
      <c r="K23" s="780"/>
      <c r="L23" s="780"/>
      <c r="M23" s="780"/>
      <c r="N23" s="780"/>
    </row>
    <row r="24" spans="1:14" ht="12.6" customHeight="1" x14ac:dyDescent="0.2">
      <c r="A24" s="453"/>
      <c r="B24" s="780" t="s">
        <v>479</v>
      </c>
      <c r="C24" s="780"/>
      <c r="D24" s="780"/>
      <c r="E24" s="780"/>
      <c r="F24" s="780"/>
      <c r="G24" s="780"/>
      <c r="H24" s="780"/>
      <c r="I24" s="780"/>
      <c r="J24" s="780"/>
      <c r="K24" s="780"/>
      <c r="L24" s="780"/>
      <c r="M24" s="780"/>
      <c r="N24" s="780"/>
    </row>
    <row r="25" spans="1:14" ht="12.6" customHeight="1" x14ac:dyDescent="0.2">
      <c r="A25" s="453"/>
      <c r="B25" s="780" t="s">
        <v>296</v>
      </c>
      <c r="C25" s="780"/>
      <c r="D25" s="780"/>
      <c r="E25" s="780"/>
      <c r="F25" s="780"/>
      <c r="G25" s="780"/>
      <c r="H25" s="780"/>
      <c r="I25" s="780"/>
      <c r="J25" s="780"/>
      <c r="K25" s="780"/>
      <c r="L25" s="780"/>
      <c r="M25" s="780"/>
      <c r="N25" s="780"/>
    </row>
    <row r="26" spans="1:14" ht="12.6" customHeight="1" x14ac:dyDescent="0.2">
      <c r="A26" s="453"/>
      <c r="B26" s="780" t="s">
        <v>297</v>
      </c>
      <c r="C26" s="780"/>
      <c r="D26" s="780"/>
      <c r="E26" s="780"/>
      <c r="F26" s="780"/>
      <c r="G26" s="780"/>
      <c r="H26" s="780"/>
      <c r="I26" s="780"/>
      <c r="J26" s="780"/>
      <c r="K26" s="780"/>
      <c r="L26" s="780"/>
      <c r="M26" s="780"/>
      <c r="N26" s="780"/>
    </row>
    <row r="27" spans="1:14" ht="12.6" customHeight="1" x14ac:dyDescent="0.2">
      <c r="A27" s="453"/>
      <c r="B27" s="780" t="s">
        <v>298</v>
      </c>
      <c r="C27" s="780"/>
      <c r="D27" s="780"/>
      <c r="E27" s="780"/>
      <c r="F27" s="780"/>
      <c r="G27" s="780"/>
      <c r="H27" s="780"/>
      <c r="I27" s="780"/>
      <c r="J27" s="780"/>
      <c r="K27" s="780"/>
      <c r="L27" s="780"/>
      <c r="M27" s="780"/>
      <c r="N27" s="780"/>
    </row>
    <row r="28" spans="1:14" ht="12.6" customHeight="1" x14ac:dyDescent="0.2">
      <c r="A28" s="453"/>
      <c r="B28" s="780" t="s">
        <v>299</v>
      </c>
      <c r="C28" s="780"/>
      <c r="D28" s="780"/>
      <c r="E28" s="780"/>
      <c r="F28" s="780"/>
      <c r="G28" s="780"/>
      <c r="H28" s="780"/>
      <c r="I28" s="780"/>
      <c r="J28" s="780"/>
      <c r="K28" s="780"/>
      <c r="L28" s="780"/>
      <c r="M28" s="780"/>
      <c r="N28" s="780"/>
    </row>
    <row r="29" spans="1:14" ht="5.0999999999999996" customHeight="1" x14ac:dyDescent="0.2">
      <c r="A29" s="778"/>
      <c r="B29" s="779"/>
      <c r="C29" s="779"/>
      <c r="D29" s="779"/>
      <c r="E29" s="779"/>
      <c r="F29" s="779"/>
      <c r="G29" s="779"/>
      <c r="H29" s="779"/>
      <c r="I29" s="779"/>
      <c r="J29" s="779"/>
      <c r="K29" s="779"/>
      <c r="L29" s="779"/>
      <c r="M29" s="779"/>
      <c r="N29" s="779"/>
    </row>
    <row r="30" spans="1:14" x14ac:dyDescent="0.2">
      <c r="A30" s="452" t="s">
        <v>332</v>
      </c>
      <c r="B30" s="787" t="s">
        <v>342</v>
      </c>
      <c r="C30" s="779"/>
      <c r="D30" s="779"/>
      <c r="E30" s="779"/>
      <c r="F30" s="779"/>
      <c r="G30" s="779"/>
      <c r="H30" s="779"/>
      <c r="I30" s="779"/>
      <c r="J30" s="779"/>
      <c r="K30" s="779"/>
      <c r="L30" s="779"/>
      <c r="M30" s="779"/>
      <c r="N30" s="779"/>
    </row>
    <row r="31" spans="1:14" ht="12.6" customHeight="1" x14ac:dyDescent="0.2">
      <c r="A31" s="453"/>
      <c r="B31" s="780" t="s">
        <v>300</v>
      </c>
      <c r="C31" s="780"/>
      <c r="D31" s="780"/>
      <c r="E31" s="780"/>
      <c r="F31" s="780"/>
      <c r="G31" s="780"/>
      <c r="H31" s="780"/>
      <c r="I31" s="780"/>
      <c r="J31" s="780"/>
      <c r="K31" s="780"/>
      <c r="L31" s="780"/>
      <c r="M31" s="780"/>
      <c r="N31" s="780"/>
    </row>
    <row r="32" spans="1:14" ht="12.6" customHeight="1" x14ac:dyDescent="0.2">
      <c r="A32" s="453"/>
      <c r="B32" s="780" t="s">
        <v>301</v>
      </c>
      <c r="C32" s="780"/>
      <c r="D32" s="780"/>
      <c r="E32" s="780"/>
      <c r="F32" s="780"/>
      <c r="G32" s="780"/>
      <c r="H32" s="780"/>
      <c r="I32" s="780"/>
      <c r="J32" s="780"/>
      <c r="K32" s="780"/>
      <c r="L32" s="780"/>
      <c r="M32" s="780"/>
      <c r="N32" s="780"/>
    </row>
    <row r="33" spans="1:14" ht="12.6" customHeight="1" x14ac:dyDescent="0.2">
      <c r="A33" s="453"/>
      <c r="B33" s="780" t="s">
        <v>302</v>
      </c>
      <c r="C33" s="780"/>
      <c r="D33" s="780"/>
      <c r="E33" s="780"/>
      <c r="F33" s="780"/>
      <c r="G33" s="780"/>
      <c r="H33" s="780"/>
      <c r="I33" s="780"/>
      <c r="J33" s="780"/>
      <c r="K33" s="780"/>
      <c r="L33" s="780"/>
      <c r="M33" s="780"/>
      <c r="N33" s="780"/>
    </row>
    <row r="34" spans="1:14" ht="5.0999999999999996" customHeight="1" x14ac:dyDescent="0.2">
      <c r="A34" s="778"/>
      <c r="B34" s="779"/>
      <c r="C34" s="779"/>
      <c r="D34" s="779"/>
      <c r="E34" s="779"/>
      <c r="F34" s="779"/>
      <c r="G34" s="779"/>
      <c r="H34" s="779"/>
      <c r="I34" s="779"/>
      <c r="J34" s="779"/>
      <c r="K34" s="779"/>
      <c r="L34" s="779"/>
      <c r="M34" s="779"/>
      <c r="N34" s="779"/>
    </row>
    <row r="35" spans="1:14" ht="12.6" customHeight="1" x14ac:dyDescent="0.2">
      <c r="A35" s="453"/>
      <c r="B35" s="780" t="s">
        <v>366</v>
      </c>
      <c r="C35" s="780"/>
      <c r="D35" s="780"/>
      <c r="E35" s="780"/>
      <c r="F35" s="780"/>
      <c r="G35" s="780"/>
      <c r="H35" s="780"/>
      <c r="I35" s="780"/>
      <c r="J35" s="780"/>
      <c r="K35" s="780"/>
      <c r="L35" s="780"/>
      <c r="M35" s="780"/>
      <c r="N35" s="780"/>
    </row>
    <row r="36" spans="1:14" ht="12.6" customHeight="1" x14ac:dyDescent="0.2">
      <c r="A36" s="453"/>
      <c r="B36" s="780" t="s">
        <v>303</v>
      </c>
      <c r="C36" s="780"/>
      <c r="D36" s="780"/>
      <c r="E36" s="780"/>
      <c r="F36" s="780"/>
      <c r="G36" s="780"/>
      <c r="H36" s="780"/>
      <c r="I36" s="780"/>
      <c r="J36" s="780"/>
      <c r="K36" s="780"/>
      <c r="L36" s="780"/>
      <c r="M36" s="780"/>
      <c r="N36" s="780"/>
    </row>
    <row r="37" spans="1:14" ht="12.6" customHeight="1" x14ac:dyDescent="0.2">
      <c r="A37" s="453"/>
      <c r="B37" s="780" t="s">
        <v>304</v>
      </c>
      <c r="C37" s="780"/>
      <c r="D37" s="780"/>
      <c r="E37" s="780"/>
      <c r="F37" s="780"/>
      <c r="G37" s="780"/>
      <c r="H37" s="780"/>
      <c r="I37" s="780"/>
      <c r="J37" s="780"/>
      <c r="K37" s="780"/>
      <c r="L37" s="780"/>
      <c r="M37" s="780"/>
      <c r="N37" s="780"/>
    </row>
    <row r="38" spans="1:14" ht="12.6" customHeight="1" x14ac:dyDescent="0.2">
      <c r="A38" s="453"/>
      <c r="B38" s="780" t="s">
        <v>305</v>
      </c>
      <c r="C38" s="780"/>
      <c r="D38" s="780"/>
      <c r="E38" s="780"/>
      <c r="F38" s="780"/>
      <c r="G38" s="780"/>
      <c r="H38" s="780"/>
      <c r="I38" s="780"/>
      <c r="J38" s="780"/>
      <c r="K38" s="780"/>
      <c r="L38" s="780"/>
      <c r="M38" s="780"/>
      <c r="N38" s="780"/>
    </row>
    <row r="39" spans="1:14" ht="12.6" customHeight="1" x14ac:dyDescent="0.2">
      <c r="A39" s="453"/>
      <c r="B39" s="780" t="s">
        <v>306</v>
      </c>
      <c r="C39" s="780"/>
      <c r="D39" s="780"/>
      <c r="E39" s="780"/>
      <c r="F39" s="780"/>
      <c r="G39" s="780"/>
      <c r="H39" s="780"/>
      <c r="I39" s="780"/>
      <c r="J39" s="780"/>
      <c r="K39" s="780"/>
      <c r="L39" s="780"/>
      <c r="M39" s="780"/>
      <c r="N39" s="780"/>
    </row>
    <row r="40" spans="1:14" ht="5.0999999999999996" customHeight="1" x14ac:dyDescent="0.2">
      <c r="A40" s="778"/>
      <c r="B40" s="779"/>
      <c r="C40" s="779"/>
      <c r="D40" s="779"/>
      <c r="E40" s="779"/>
      <c r="F40" s="779"/>
      <c r="G40" s="779"/>
      <c r="H40" s="779"/>
      <c r="I40" s="779"/>
      <c r="J40" s="779"/>
      <c r="K40" s="779"/>
      <c r="L40" s="779"/>
      <c r="M40" s="779"/>
      <c r="N40" s="779"/>
    </row>
    <row r="41" spans="1:14" ht="12.6" customHeight="1" x14ac:dyDescent="0.2">
      <c r="A41" s="453"/>
      <c r="B41" s="780" t="s">
        <v>367</v>
      </c>
      <c r="C41" s="780"/>
      <c r="D41" s="780"/>
      <c r="E41" s="780"/>
      <c r="F41" s="780"/>
      <c r="G41" s="780"/>
      <c r="H41" s="780"/>
      <c r="I41" s="780"/>
      <c r="J41" s="780"/>
      <c r="K41" s="780"/>
      <c r="L41" s="780"/>
      <c r="M41" s="780"/>
      <c r="N41" s="780"/>
    </row>
    <row r="42" spans="1:14" ht="12.6" customHeight="1" x14ac:dyDescent="0.2">
      <c r="A42" s="453"/>
      <c r="B42" s="780" t="s">
        <v>307</v>
      </c>
      <c r="C42" s="780"/>
      <c r="D42" s="780"/>
      <c r="E42" s="780"/>
      <c r="F42" s="780"/>
      <c r="G42" s="780"/>
      <c r="H42" s="780"/>
      <c r="I42" s="780"/>
      <c r="J42" s="780"/>
      <c r="K42" s="780"/>
      <c r="L42" s="780"/>
      <c r="M42" s="780"/>
      <c r="N42" s="780"/>
    </row>
    <row r="43" spans="1:14" ht="12.6" customHeight="1" x14ac:dyDescent="0.2">
      <c r="A43" s="453"/>
      <c r="B43" s="780" t="s">
        <v>308</v>
      </c>
      <c r="C43" s="780"/>
      <c r="D43" s="780"/>
      <c r="E43" s="780"/>
      <c r="F43" s="780"/>
      <c r="G43" s="780"/>
      <c r="H43" s="780"/>
      <c r="I43" s="780"/>
      <c r="J43" s="780"/>
      <c r="K43" s="780"/>
      <c r="L43" s="780"/>
      <c r="M43" s="780"/>
      <c r="N43" s="780"/>
    </row>
    <row r="44" spans="1:14" ht="12.6" customHeight="1" x14ac:dyDescent="0.2">
      <c r="A44" s="453"/>
      <c r="B44" s="780" t="s">
        <v>309</v>
      </c>
      <c r="C44" s="780"/>
      <c r="D44" s="780"/>
      <c r="E44" s="780"/>
      <c r="F44" s="780"/>
      <c r="G44" s="780"/>
      <c r="H44" s="780"/>
      <c r="I44" s="780"/>
      <c r="J44" s="780"/>
      <c r="K44" s="780"/>
      <c r="L44" s="780"/>
      <c r="M44" s="780"/>
      <c r="N44" s="780"/>
    </row>
    <row r="45" spans="1:14" ht="12.6" customHeight="1" x14ac:dyDescent="0.2">
      <c r="A45" s="778"/>
      <c r="B45" s="779"/>
      <c r="C45" s="780" t="s">
        <v>310</v>
      </c>
      <c r="D45" s="780"/>
      <c r="E45" s="780"/>
      <c r="F45" s="780"/>
      <c r="G45" s="780"/>
      <c r="H45" s="780"/>
      <c r="I45" s="780"/>
      <c r="J45" s="780"/>
      <c r="K45" s="780"/>
      <c r="L45" s="780"/>
      <c r="M45" s="780"/>
      <c r="N45" s="780"/>
    </row>
    <row r="46" spans="1:14" ht="12.6" customHeight="1" x14ac:dyDescent="0.2">
      <c r="A46" s="778"/>
      <c r="B46" s="779"/>
      <c r="C46" s="780" t="s">
        <v>311</v>
      </c>
      <c r="D46" s="780"/>
      <c r="E46" s="780"/>
      <c r="F46" s="780"/>
      <c r="G46" s="780"/>
      <c r="H46" s="780"/>
      <c r="I46" s="780"/>
      <c r="J46" s="780"/>
      <c r="K46" s="780"/>
      <c r="L46" s="780"/>
      <c r="M46" s="780"/>
      <c r="N46" s="780"/>
    </row>
    <row r="47" spans="1:14" ht="12.6" customHeight="1" x14ac:dyDescent="0.2">
      <c r="A47" s="778"/>
      <c r="B47" s="779"/>
      <c r="C47" s="780" t="s">
        <v>312</v>
      </c>
      <c r="D47" s="780"/>
      <c r="E47" s="780"/>
      <c r="F47" s="780"/>
      <c r="G47" s="780"/>
      <c r="H47" s="780"/>
      <c r="I47" s="780"/>
      <c r="J47" s="780"/>
      <c r="K47" s="780"/>
      <c r="L47" s="780"/>
      <c r="M47" s="780"/>
      <c r="N47" s="780"/>
    </row>
    <row r="48" spans="1:14" ht="12.6" customHeight="1" x14ac:dyDescent="0.2">
      <c r="A48" s="453"/>
      <c r="B48" s="780" t="s">
        <v>313</v>
      </c>
      <c r="C48" s="780"/>
      <c r="D48" s="780"/>
      <c r="E48" s="780"/>
      <c r="F48" s="780"/>
      <c r="G48" s="780"/>
      <c r="H48" s="780"/>
      <c r="I48" s="780"/>
      <c r="J48" s="780"/>
      <c r="K48" s="780"/>
      <c r="L48" s="780"/>
      <c r="M48" s="780"/>
      <c r="N48" s="780"/>
    </row>
    <row r="49" spans="1:14" ht="12.6" customHeight="1" x14ac:dyDescent="0.2">
      <c r="A49" s="453"/>
      <c r="B49" s="780" t="s">
        <v>314</v>
      </c>
      <c r="C49" s="780"/>
      <c r="D49" s="780"/>
      <c r="E49" s="780"/>
      <c r="F49" s="780"/>
      <c r="G49" s="780"/>
      <c r="H49" s="780"/>
      <c r="I49" s="780"/>
      <c r="J49" s="780"/>
      <c r="K49" s="780"/>
      <c r="L49" s="780"/>
      <c r="M49" s="780"/>
      <c r="N49" s="780"/>
    </row>
    <row r="50" spans="1:14" ht="12.6" customHeight="1" x14ac:dyDescent="0.2">
      <c r="A50" s="453"/>
      <c r="B50" s="780" t="s">
        <v>315</v>
      </c>
      <c r="C50" s="780"/>
      <c r="D50" s="780"/>
      <c r="E50" s="780"/>
      <c r="F50" s="780"/>
      <c r="G50" s="780"/>
      <c r="H50" s="780"/>
      <c r="I50" s="780"/>
      <c r="J50" s="780"/>
      <c r="K50" s="780"/>
      <c r="L50" s="780"/>
      <c r="M50" s="780"/>
      <c r="N50" s="780"/>
    </row>
    <row r="51" spans="1:14" ht="5.0999999999999996" customHeight="1" x14ac:dyDescent="0.2">
      <c r="A51" s="778"/>
      <c r="B51" s="779"/>
      <c r="C51" s="779"/>
      <c r="D51" s="779"/>
      <c r="E51" s="779"/>
      <c r="F51" s="779"/>
      <c r="G51" s="779"/>
      <c r="H51" s="779"/>
      <c r="I51" s="779"/>
      <c r="J51" s="779"/>
      <c r="K51" s="779"/>
      <c r="L51" s="779"/>
      <c r="M51" s="779"/>
      <c r="N51" s="779"/>
    </row>
    <row r="52" spans="1:14" x14ac:dyDescent="0.2">
      <c r="A52" s="452" t="s">
        <v>333</v>
      </c>
      <c r="B52" s="787" t="s">
        <v>343</v>
      </c>
      <c r="C52" s="780"/>
      <c r="D52" s="780"/>
      <c r="E52" s="780"/>
      <c r="F52" s="780"/>
      <c r="G52" s="780"/>
      <c r="H52" s="780"/>
      <c r="I52" s="780"/>
      <c r="J52" s="780"/>
      <c r="K52" s="780"/>
      <c r="L52" s="780"/>
      <c r="M52" s="780"/>
      <c r="N52" s="780"/>
    </row>
    <row r="53" spans="1:14" ht="12.6" customHeight="1" x14ac:dyDescent="0.2">
      <c r="A53" s="453"/>
      <c r="B53" s="780" t="s">
        <v>316</v>
      </c>
      <c r="C53" s="780"/>
      <c r="D53" s="780"/>
      <c r="E53" s="780"/>
      <c r="F53" s="780"/>
      <c r="G53" s="780"/>
      <c r="H53" s="780"/>
      <c r="I53" s="780"/>
      <c r="J53" s="780"/>
      <c r="K53" s="780"/>
      <c r="L53" s="780"/>
      <c r="M53" s="780"/>
      <c r="N53" s="780"/>
    </row>
    <row r="54" spans="1:14" ht="12.6" customHeight="1" x14ac:dyDescent="0.2">
      <c r="A54" s="453"/>
      <c r="B54" s="780" t="s">
        <v>317</v>
      </c>
      <c r="C54" s="780"/>
      <c r="D54" s="780"/>
      <c r="E54" s="780"/>
      <c r="F54" s="780"/>
      <c r="G54" s="780"/>
      <c r="H54" s="780"/>
      <c r="I54" s="780"/>
      <c r="J54" s="780"/>
      <c r="K54" s="780"/>
      <c r="L54" s="780"/>
      <c r="M54" s="780"/>
      <c r="N54" s="780"/>
    </row>
    <row r="55" spans="1:14" ht="5.0999999999999996" customHeight="1" x14ac:dyDescent="0.2">
      <c r="A55" s="778"/>
      <c r="B55" s="779"/>
      <c r="C55" s="779"/>
      <c r="D55" s="779"/>
      <c r="E55" s="779"/>
      <c r="F55" s="779"/>
      <c r="G55" s="779"/>
      <c r="H55" s="779"/>
      <c r="I55" s="779"/>
      <c r="J55" s="779"/>
      <c r="K55" s="779"/>
      <c r="L55" s="779"/>
      <c r="M55" s="779"/>
      <c r="N55" s="779"/>
    </row>
    <row r="56" spans="1:14" x14ac:dyDescent="0.2">
      <c r="A56" s="452" t="s">
        <v>334</v>
      </c>
      <c r="B56" s="787" t="s">
        <v>344</v>
      </c>
      <c r="C56" s="780"/>
      <c r="D56" s="780"/>
      <c r="E56" s="780"/>
      <c r="F56" s="780"/>
      <c r="G56" s="780"/>
      <c r="H56" s="780"/>
      <c r="I56" s="780"/>
      <c r="J56" s="780"/>
      <c r="K56" s="780"/>
      <c r="L56" s="780"/>
      <c r="M56" s="780"/>
      <c r="N56" s="780"/>
    </row>
    <row r="57" spans="1:14" ht="12.6" customHeight="1" x14ac:dyDescent="0.2">
      <c r="A57" s="453"/>
      <c r="B57" s="780" t="s">
        <v>318</v>
      </c>
      <c r="C57" s="780"/>
      <c r="D57" s="780"/>
      <c r="E57" s="780"/>
      <c r="F57" s="780"/>
      <c r="G57" s="780"/>
      <c r="H57" s="780"/>
      <c r="I57" s="780"/>
      <c r="J57" s="780"/>
      <c r="K57" s="780"/>
      <c r="L57" s="780"/>
      <c r="M57" s="780"/>
      <c r="N57" s="780"/>
    </row>
    <row r="58" spans="1:14" ht="12.6" customHeight="1" x14ac:dyDescent="0.2">
      <c r="A58" s="453"/>
      <c r="B58" s="780" t="s">
        <v>319</v>
      </c>
      <c r="C58" s="780"/>
      <c r="D58" s="780"/>
      <c r="E58" s="780"/>
      <c r="F58" s="780"/>
      <c r="G58" s="780"/>
      <c r="H58" s="780"/>
      <c r="I58" s="780"/>
      <c r="J58" s="780"/>
      <c r="K58" s="780"/>
      <c r="L58" s="780"/>
      <c r="M58" s="780"/>
      <c r="N58" s="780"/>
    </row>
    <row r="59" spans="1:14" ht="12.6" customHeight="1" x14ac:dyDescent="0.2">
      <c r="A59" s="453"/>
      <c r="B59" s="780" t="s">
        <v>320</v>
      </c>
      <c r="C59" s="780"/>
      <c r="D59" s="780"/>
      <c r="E59" s="780"/>
      <c r="F59" s="780"/>
      <c r="G59" s="780"/>
      <c r="H59" s="780"/>
      <c r="I59" s="780"/>
      <c r="J59" s="780"/>
      <c r="K59" s="780"/>
      <c r="L59" s="780"/>
      <c r="M59" s="780"/>
      <c r="N59" s="780"/>
    </row>
    <row r="60" spans="1:14" ht="12.6" customHeight="1" x14ac:dyDescent="0.2">
      <c r="A60" s="453"/>
      <c r="B60" s="780" t="s">
        <v>321</v>
      </c>
      <c r="C60" s="780"/>
      <c r="D60" s="780"/>
      <c r="E60" s="780"/>
      <c r="F60" s="780"/>
      <c r="G60" s="780"/>
      <c r="H60" s="780"/>
      <c r="I60" s="780"/>
      <c r="J60" s="780"/>
      <c r="K60" s="780"/>
      <c r="L60" s="780"/>
      <c r="M60" s="780"/>
      <c r="N60" s="780"/>
    </row>
    <row r="61" spans="1:14" ht="12.6" customHeight="1" x14ac:dyDescent="0.2">
      <c r="A61" s="453"/>
      <c r="B61" s="780" t="s">
        <v>322</v>
      </c>
      <c r="C61" s="780"/>
      <c r="D61" s="780"/>
      <c r="E61" s="780"/>
      <c r="F61" s="780"/>
      <c r="G61" s="780"/>
      <c r="H61" s="780"/>
      <c r="I61" s="780"/>
      <c r="J61" s="780"/>
      <c r="K61" s="780"/>
      <c r="L61" s="780"/>
      <c r="M61" s="780"/>
      <c r="N61" s="780"/>
    </row>
    <row r="62" spans="1:14" ht="5.0999999999999996" customHeight="1" x14ac:dyDescent="0.2">
      <c r="A62" s="453"/>
      <c r="B62" s="454"/>
      <c r="C62" s="454"/>
      <c r="D62" s="454"/>
      <c r="E62" s="454"/>
      <c r="F62" s="454"/>
      <c r="G62" s="454"/>
      <c r="H62" s="454"/>
      <c r="I62" s="454"/>
      <c r="J62" s="454"/>
      <c r="K62" s="454"/>
      <c r="L62" s="454"/>
      <c r="M62" s="454"/>
      <c r="N62" s="454"/>
    </row>
    <row r="63" spans="1:14" x14ac:dyDescent="0.2">
      <c r="A63" s="452" t="s">
        <v>335</v>
      </c>
      <c r="B63" s="787" t="s">
        <v>345</v>
      </c>
      <c r="C63" s="780"/>
      <c r="D63" s="780"/>
      <c r="E63" s="780"/>
      <c r="F63" s="780"/>
      <c r="G63" s="780"/>
      <c r="H63" s="780"/>
      <c r="I63" s="780"/>
      <c r="J63" s="780"/>
      <c r="K63" s="780"/>
      <c r="L63" s="780"/>
      <c r="M63" s="780"/>
      <c r="N63" s="780"/>
    </row>
    <row r="64" spans="1:14" ht="12.6" customHeight="1" x14ac:dyDescent="0.2">
      <c r="A64" s="453"/>
      <c r="B64" s="780" t="s">
        <v>323</v>
      </c>
      <c r="C64" s="780"/>
      <c r="D64" s="780"/>
      <c r="E64" s="780"/>
      <c r="F64" s="780"/>
      <c r="G64" s="780"/>
      <c r="H64" s="780"/>
      <c r="I64" s="780"/>
      <c r="J64" s="780"/>
      <c r="K64" s="780"/>
      <c r="L64" s="780"/>
      <c r="M64" s="780"/>
      <c r="N64" s="780"/>
    </row>
    <row r="65" spans="1:15" ht="12.6" customHeight="1" x14ac:dyDescent="0.2">
      <c r="A65" s="453"/>
      <c r="B65" s="780" t="s">
        <v>324</v>
      </c>
      <c r="C65" s="780"/>
      <c r="D65" s="780"/>
      <c r="E65" s="780"/>
      <c r="F65" s="780"/>
      <c r="G65" s="780"/>
      <c r="H65" s="780"/>
      <c r="I65" s="780"/>
      <c r="J65" s="780"/>
      <c r="K65" s="780"/>
      <c r="L65" s="780"/>
      <c r="M65" s="780"/>
      <c r="N65" s="780"/>
    </row>
    <row r="66" spans="1:15" ht="5.0999999999999996" customHeight="1" x14ac:dyDescent="0.2">
      <c r="A66" s="778"/>
      <c r="B66" s="779"/>
      <c r="C66" s="779"/>
      <c r="D66" s="779"/>
      <c r="E66" s="779"/>
      <c r="F66" s="779"/>
      <c r="G66" s="779"/>
      <c r="H66" s="779"/>
      <c r="I66" s="779"/>
      <c r="J66" s="779"/>
      <c r="K66" s="779"/>
      <c r="L66" s="779"/>
      <c r="M66" s="779"/>
      <c r="N66" s="779"/>
    </row>
    <row r="67" spans="1:15" x14ac:dyDescent="0.2">
      <c r="A67" s="452" t="s">
        <v>336</v>
      </c>
      <c r="B67" s="787" t="s">
        <v>346</v>
      </c>
      <c r="C67" s="780"/>
      <c r="D67" s="780"/>
      <c r="E67" s="780"/>
      <c r="F67" s="780"/>
      <c r="G67" s="780"/>
      <c r="H67" s="780"/>
      <c r="I67" s="780"/>
      <c r="J67" s="780"/>
      <c r="K67" s="780"/>
      <c r="L67" s="780"/>
      <c r="M67" s="780"/>
      <c r="N67" s="780"/>
    </row>
    <row r="68" spans="1:15" ht="12.6" customHeight="1" x14ac:dyDescent="0.2">
      <c r="A68" s="453"/>
      <c r="B68" s="780" t="s">
        <v>325</v>
      </c>
      <c r="C68" s="780"/>
      <c r="D68" s="780"/>
      <c r="E68" s="780"/>
      <c r="F68" s="780"/>
      <c r="G68" s="780"/>
      <c r="H68" s="780"/>
      <c r="I68" s="780"/>
      <c r="J68" s="780"/>
      <c r="K68" s="780"/>
      <c r="L68" s="780"/>
      <c r="M68" s="780"/>
      <c r="N68" s="780"/>
    </row>
    <row r="69" spans="1:15" ht="12.6" customHeight="1" x14ac:dyDescent="0.2">
      <c r="A69" s="453"/>
      <c r="B69" s="780" t="s">
        <v>326</v>
      </c>
      <c r="C69" s="780"/>
      <c r="D69" s="780"/>
      <c r="E69" s="780"/>
      <c r="F69" s="780"/>
      <c r="G69" s="780"/>
      <c r="H69" s="780"/>
      <c r="I69" s="780"/>
      <c r="J69" s="780"/>
      <c r="K69" s="780"/>
      <c r="L69" s="780"/>
      <c r="M69" s="780"/>
      <c r="N69" s="780"/>
    </row>
    <row r="70" spans="1:15" ht="13.5" thickBot="1" x14ac:dyDescent="0.25"/>
    <row r="71" spans="1:15" ht="15" x14ac:dyDescent="0.2">
      <c r="A71" s="781" t="s">
        <v>348</v>
      </c>
      <c r="B71" s="782"/>
      <c r="C71" s="782"/>
      <c r="D71" s="782"/>
      <c r="E71" s="782"/>
      <c r="F71" s="782"/>
      <c r="G71" s="782"/>
      <c r="H71" s="782"/>
      <c r="I71" s="782"/>
      <c r="J71" s="782"/>
      <c r="K71" s="782"/>
      <c r="L71" s="782"/>
      <c r="M71" s="782"/>
      <c r="N71" s="783"/>
    </row>
    <row r="72" spans="1:15" ht="5.0999999999999996" customHeight="1" x14ac:dyDescent="0.2">
      <c r="A72" s="457"/>
      <c r="B72" s="456"/>
      <c r="C72" s="456"/>
      <c r="D72" s="456"/>
      <c r="E72" s="456"/>
      <c r="F72" s="456"/>
      <c r="G72" s="456"/>
      <c r="H72" s="456"/>
      <c r="I72" s="456"/>
      <c r="J72" s="456"/>
      <c r="K72" s="456"/>
      <c r="L72" s="456"/>
      <c r="M72" s="456"/>
      <c r="N72" s="458"/>
    </row>
    <row r="73" spans="1:15" ht="15" x14ac:dyDescent="0.2">
      <c r="A73" s="777" t="s">
        <v>349</v>
      </c>
      <c r="B73" s="776"/>
      <c r="C73" s="776"/>
      <c r="D73" s="776"/>
      <c r="E73" s="775" t="s">
        <v>355</v>
      </c>
      <c r="F73" s="776"/>
      <c r="G73" s="776"/>
      <c r="H73" s="776"/>
      <c r="I73" s="775" t="s">
        <v>360</v>
      </c>
      <c r="J73" s="776"/>
      <c r="K73" s="776"/>
      <c r="L73" s="776"/>
      <c r="M73" s="776"/>
      <c r="N73" s="458"/>
    </row>
    <row r="74" spans="1:15" ht="15" x14ac:dyDescent="0.2">
      <c r="A74" s="777" t="s">
        <v>350</v>
      </c>
      <c r="B74" s="776"/>
      <c r="C74" s="776"/>
      <c r="D74" s="776"/>
      <c r="E74" s="775" t="s">
        <v>350</v>
      </c>
      <c r="F74" s="776"/>
      <c r="G74" s="776"/>
      <c r="H74" s="776"/>
      <c r="I74" s="775" t="s">
        <v>361</v>
      </c>
      <c r="J74" s="776"/>
      <c r="K74" s="776"/>
      <c r="L74" s="776"/>
      <c r="M74" s="776"/>
      <c r="N74" s="458"/>
      <c r="O74" s="443"/>
    </row>
    <row r="75" spans="1:15" ht="15" x14ac:dyDescent="0.2">
      <c r="A75" s="777" t="s">
        <v>351</v>
      </c>
      <c r="B75" s="776"/>
      <c r="C75" s="776"/>
      <c r="D75" s="776"/>
      <c r="E75" s="775" t="s">
        <v>356</v>
      </c>
      <c r="F75" s="776"/>
      <c r="G75" s="776"/>
      <c r="H75" s="776"/>
      <c r="I75" s="775" t="s">
        <v>362</v>
      </c>
      <c r="J75" s="776"/>
      <c r="K75" s="776"/>
      <c r="L75" s="776"/>
      <c r="M75" s="776"/>
      <c r="N75" s="458"/>
      <c r="O75" s="443"/>
    </row>
    <row r="76" spans="1:15" ht="15" x14ac:dyDescent="0.2">
      <c r="A76" s="777" t="s">
        <v>352</v>
      </c>
      <c r="B76" s="776"/>
      <c r="C76" s="776"/>
      <c r="D76" s="776"/>
      <c r="E76" s="775" t="s">
        <v>357</v>
      </c>
      <c r="F76" s="776"/>
      <c r="G76" s="776"/>
      <c r="H76" s="776"/>
      <c r="I76" s="775" t="s">
        <v>363</v>
      </c>
      <c r="J76" s="776"/>
      <c r="K76" s="776"/>
      <c r="L76" s="776"/>
      <c r="M76" s="776"/>
      <c r="N76" s="458"/>
      <c r="O76" s="443"/>
    </row>
    <row r="77" spans="1:15" ht="15" x14ac:dyDescent="0.2">
      <c r="A77" s="777" t="s">
        <v>353</v>
      </c>
      <c r="B77" s="776"/>
      <c r="C77" s="776"/>
      <c r="D77" s="776"/>
      <c r="E77" s="775" t="s">
        <v>358</v>
      </c>
      <c r="F77" s="776"/>
      <c r="G77" s="776"/>
      <c r="H77" s="776"/>
      <c r="I77" s="775" t="s">
        <v>364</v>
      </c>
      <c r="J77" s="776"/>
      <c r="K77" s="776"/>
      <c r="L77" s="776"/>
      <c r="M77" s="776"/>
      <c r="N77" s="458"/>
      <c r="O77" s="443"/>
    </row>
    <row r="78" spans="1:15" ht="15" x14ac:dyDescent="0.2">
      <c r="A78" s="777" t="s">
        <v>354</v>
      </c>
      <c r="B78" s="776"/>
      <c r="C78" s="776"/>
      <c r="D78" s="776"/>
      <c r="E78" s="775" t="s">
        <v>359</v>
      </c>
      <c r="F78" s="776"/>
      <c r="G78" s="776"/>
      <c r="H78" s="776"/>
      <c r="I78" s="775" t="s">
        <v>365</v>
      </c>
      <c r="J78" s="776"/>
      <c r="K78" s="776"/>
      <c r="L78" s="776"/>
      <c r="M78" s="776"/>
      <c r="N78" s="458"/>
      <c r="O78" s="443"/>
    </row>
    <row r="79" spans="1:15" ht="15.75" thickBot="1" x14ac:dyDescent="0.25">
      <c r="A79" s="788" t="s">
        <v>476</v>
      </c>
      <c r="B79" s="789"/>
      <c r="C79" s="789"/>
      <c r="D79" s="789"/>
      <c r="E79" s="790" t="s">
        <v>477</v>
      </c>
      <c r="F79" s="789"/>
      <c r="G79" s="789"/>
      <c r="H79" s="789"/>
      <c r="I79" s="494"/>
      <c r="J79" s="790" t="s">
        <v>478</v>
      </c>
      <c r="K79" s="789"/>
      <c r="L79" s="789"/>
      <c r="M79" s="494"/>
      <c r="N79" s="495"/>
    </row>
  </sheetData>
  <mergeCells count="92">
    <mergeCell ref="A79:D79"/>
    <mergeCell ref="E79:H79"/>
    <mergeCell ref="J79:L79"/>
    <mergeCell ref="B4:N4"/>
    <mergeCell ref="B5:N5"/>
    <mergeCell ref="B6:N6"/>
    <mergeCell ref="B9:N9"/>
    <mergeCell ref="B10:N10"/>
    <mergeCell ref="B8:N8"/>
    <mergeCell ref="B24:N24"/>
    <mergeCell ref="B25:N25"/>
    <mergeCell ref="B26:N26"/>
    <mergeCell ref="B27:N27"/>
    <mergeCell ref="B11:N11"/>
    <mergeCell ref="B14:N14"/>
    <mergeCell ref="B15:N15"/>
    <mergeCell ref="B18:N18"/>
    <mergeCell ref="B19:N19"/>
    <mergeCell ref="B20:N20"/>
    <mergeCell ref="B23:N23"/>
    <mergeCell ref="B13:N13"/>
    <mergeCell ref="B17:N17"/>
    <mergeCell ref="B22:N22"/>
    <mergeCell ref="B43:N43"/>
    <mergeCell ref="A40:N40"/>
    <mergeCell ref="B28:N28"/>
    <mergeCell ref="B31:N31"/>
    <mergeCell ref="B32:N32"/>
    <mergeCell ref="B33:N33"/>
    <mergeCell ref="B35:N35"/>
    <mergeCell ref="B36:N36"/>
    <mergeCell ref="B30:N30"/>
    <mergeCell ref="A34:N34"/>
    <mergeCell ref="B37:N37"/>
    <mergeCell ref="B38:N38"/>
    <mergeCell ref="B39:N39"/>
    <mergeCell ref="B41:N41"/>
    <mergeCell ref="B42:N42"/>
    <mergeCell ref="B56:N56"/>
    <mergeCell ref="A51:N51"/>
    <mergeCell ref="A55:N55"/>
    <mergeCell ref="B44:N44"/>
    <mergeCell ref="C45:N45"/>
    <mergeCell ref="C46:N46"/>
    <mergeCell ref="C47:N47"/>
    <mergeCell ref="B48:N48"/>
    <mergeCell ref="A45:B45"/>
    <mergeCell ref="A46:B46"/>
    <mergeCell ref="A47:B47"/>
    <mergeCell ref="B49:N49"/>
    <mergeCell ref="B50:N50"/>
    <mergeCell ref="B52:N52"/>
    <mergeCell ref="B53:N53"/>
    <mergeCell ref="B54:N54"/>
    <mergeCell ref="A3:N3"/>
    <mergeCell ref="A1:N1"/>
    <mergeCell ref="B64:N64"/>
    <mergeCell ref="B65:N65"/>
    <mergeCell ref="B67:N67"/>
    <mergeCell ref="A7:N7"/>
    <mergeCell ref="A12:N12"/>
    <mergeCell ref="A16:N16"/>
    <mergeCell ref="A21:N21"/>
    <mergeCell ref="A29:N29"/>
    <mergeCell ref="B57:N57"/>
    <mergeCell ref="B58:N58"/>
    <mergeCell ref="B59:N59"/>
    <mergeCell ref="B60:N60"/>
    <mergeCell ref="B61:N61"/>
    <mergeCell ref="B63:N63"/>
    <mergeCell ref="A66:N66"/>
    <mergeCell ref="B68:N68"/>
    <mergeCell ref="B69:N69"/>
    <mergeCell ref="E73:H73"/>
    <mergeCell ref="I73:M73"/>
    <mergeCell ref="A71:N71"/>
    <mergeCell ref="A76:D76"/>
    <mergeCell ref="A77:D77"/>
    <mergeCell ref="A78:D78"/>
    <mergeCell ref="A73:D73"/>
    <mergeCell ref="A74:D74"/>
    <mergeCell ref="A75:D75"/>
    <mergeCell ref="I77:M77"/>
    <mergeCell ref="I78:M78"/>
    <mergeCell ref="E77:H77"/>
    <mergeCell ref="E78:H78"/>
    <mergeCell ref="I74:M74"/>
    <mergeCell ref="I75:M75"/>
    <mergeCell ref="I76:M76"/>
    <mergeCell ref="E74:H74"/>
    <mergeCell ref="E75:H75"/>
    <mergeCell ref="E76:H76"/>
  </mergeCells>
  <hyperlinks>
    <hyperlink ref="A79" r:id="rId1" xr:uid="{00000000-0004-0000-0C00-000000000000}"/>
    <hyperlink ref="E79" r:id="rId2" xr:uid="{00000000-0004-0000-0C00-000001000000}"/>
    <hyperlink ref="J79" r:id="rId3" xr:uid="{00000000-0004-0000-0C00-000002000000}"/>
  </hyperlinks>
  <pageMargins left="0.7" right="0.7" top="0.75" bottom="0.75" header="0.3" footer="0.3"/>
  <pageSetup scale="73" orientation="portrait"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
    <pageSetUpPr fitToPage="1"/>
  </sheetPr>
  <dimension ref="A2:K60"/>
  <sheetViews>
    <sheetView zoomScaleNormal="100" workbookViewId="0">
      <selection activeCell="N9" sqref="N9:N70"/>
    </sheetView>
  </sheetViews>
  <sheetFormatPr defaultRowHeight="12.75" x14ac:dyDescent="0.2"/>
  <sheetData>
    <row r="2" spans="1:1" ht="8.25" customHeight="1" x14ac:dyDescent="0.2"/>
    <row r="3" spans="1:1" x14ac:dyDescent="0.2">
      <c r="A3" s="22"/>
    </row>
    <row r="5" spans="1:1" ht="11.25" customHeight="1" x14ac:dyDescent="0.2"/>
    <row r="6" spans="1:1" hidden="1" x14ac:dyDescent="0.2"/>
    <row r="7" spans="1:1" ht="8.25" customHeight="1" x14ac:dyDescent="0.2"/>
    <row r="8" spans="1:1" x14ac:dyDescent="0.2">
      <c r="A8" s="23"/>
    </row>
    <row r="11" spans="1:1" ht="15.75" customHeight="1" x14ac:dyDescent="0.2"/>
    <row r="12" spans="1:1" ht="12.75" hidden="1" customHeight="1" x14ac:dyDescent="0.2"/>
    <row r="13" spans="1:1" ht="1.5" customHeight="1" x14ac:dyDescent="0.2"/>
    <row r="14" spans="1:1" x14ac:dyDescent="0.2">
      <c r="A14" s="23"/>
    </row>
    <row r="17" spans="1:1" ht="11.25" customHeight="1" x14ac:dyDescent="0.2"/>
    <row r="18" spans="1:1" x14ac:dyDescent="0.2">
      <c r="A18" s="23"/>
    </row>
    <row r="22" spans="1:1" ht="8.25" customHeight="1" x14ac:dyDescent="0.2"/>
    <row r="23" spans="1:1" x14ac:dyDescent="0.2">
      <c r="A23" s="23"/>
    </row>
    <row r="27" spans="1:1" ht="18.95" customHeight="1" x14ac:dyDescent="0.2"/>
    <row r="28" spans="1:1" x14ac:dyDescent="0.2">
      <c r="A28" s="23"/>
    </row>
    <row r="38" spans="1:11" ht="55.5" customHeight="1" x14ac:dyDescent="0.2"/>
    <row r="39" spans="1:11" ht="12" customHeight="1" x14ac:dyDescent="0.2">
      <c r="A39" s="23"/>
    </row>
    <row r="42" spans="1:11" x14ac:dyDescent="0.2">
      <c r="A42" s="23"/>
    </row>
    <row r="44" spans="1:11" x14ac:dyDescent="0.2">
      <c r="A44" s="791"/>
      <c r="B44" s="792"/>
      <c r="C44" s="792"/>
      <c r="D44" s="792"/>
      <c r="E44" s="792"/>
      <c r="F44" s="792"/>
      <c r="G44" s="792"/>
      <c r="H44" s="792"/>
      <c r="I44" s="792"/>
      <c r="J44" s="792"/>
      <c r="K44" s="792"/>
    </row>
    <row r="46" spans="1:11" ht="16.5" customHeight="1" x14ac:dyDescent="0.2"/>
    <row r="47" spans="1:11" x14ac:dyDescent="0.2">
      <c r="A47" s="23"/>
    </row>
    <row r="49" spans="1:11" ht="8.25" customHeight="1" x14ac:dyDescent="0.2"/>
    <row r="50" spans="1:11" x14ac:dyDescent="0.2">
      <c r="A50" s="23"/>
    </row>
    <row r="51" spans="1:11" ht="29.25" customHeight="1" x14ac:dyDescent="0.2"/>
    <row r="60" spans="1:11" x14ac:dyDescent="0.2">
      <c r="K60" s="137"/>
    </row>
  </sheetData>
  <sheetProtection selectLockedCells="1"/>
  <mergeCells count="1">
    <mergeCell ref="A44:K44"/>
  </mergeCells>
  <phoneticPr fontId="7" type="noConversion"/>
  <printOptions horizontalCentered="1"/>
  <pageMargins left="0.1" right="0.1" top="0.1" bottom="0.1" header="0.5" footer="0.5"/>
  <pageSetup scale="98"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1"/>
  <dimension ref="B3:H152"/>
  <sheetViews>
    <sheetView zoomScale="80" zoomScaleNormal="80" workbookViewId="0">
      <selection activeCell="G3" sqref="G3"/>
    </sheetView>
  </sheetViews>
  <sheetFormatPr defaultRowHeight="12.75" x14ac:dyDescent="0.2"/>
  <cols>
    <col min="2" max="2" width="15" style="84" customWidth="1"/>
    <col min="3" max="3" width="8.5703125" customWidth="1"/>
    <col min="4" max="4" width="12.28515625" bestFit="1" customWidth="1"/>
    <col min="5" max="5" width="8" bestFit="1" customWidth="1"/>
    <col min="7" max="7" width="22.140625" bestFit="1" customWidth="1"/>
    <col min="8" max="8" width="21.7109375" bestFit="1" customWidth="1"/>
    <col min="10" max="10" width="14.28515625" customWidth="1"/>
    <col min="13" max="13" width="16" bestFit="1" customWidth="1"/>
  </cols>
  <sheetData>
    <row r="3" spans="2:8" s="68" customFormat="1" x14ac:dyDescent="0.2">
      <c r="B3" s="82" t="s">
        <v>113</v>
      </c>
      <c r="C3" s="67" t="s">
        <v>118</v>
      </c>
      <c r="D3" s="68" t="s">
        <v>119</v>
      </c>
      <c r="E3" s="68" t="s">
        <v>114</v>
      </c>
      <c r="F3" s="68" t="s">
        <v>120</v>
      </c>
      <c r="G3" s="68" t="s">
        <v>284</v>
      </c>
      <c r="H3" s="68" t="s">
        <v>285</v>
      </c>
    </row>
    <row r="4" spans="2:8" x14ac:dyDescent="0.2">
      <c r="B4" s="83" t="s">
        <v>121</v>
      </c>
      <c r="C4" s="65" t="s">
        <v>116</v>
      </c>
      <c r="D4" s="65" t="s">
        <v>110</v>
      </c>
      <c r="E4">
        <v>1</v>
      </c>
      <c r="F4">
        <v>0.5</v>
      </c>
      <c r="G4" t="str">
        <f>'Rebate Information (Chillers-W)'!A26</f>
        <v>C1 - 20A</v>
      </c>
      <c r="H4" t="str">
        <f>'Rebate Information (Chillers-A)'!A26</f>
        <v>C9 - 20A</v>
      </c>
    </row>
    <row r="5" spans="2:8" x14ac:dyDescent="0.2">
      <c r="B5" s="81">
        <v>5.4</v>
      </c>
      <c r="C5" s="64">
        <v>150</v>
      </c>
      <c r="D5" s="66">
        <v>8.1</v>
      </c>
      <c r="E5">
        <v>2</v>
      </c>
      <c r="F5">
        <v>0.55000000000000004</v>
      </c>
      <c r="G5" t="str">
        <f>'Rebate Information (Chillers-W)'!A27</f>
        <v>C2 - 20A</v>
      </c>
      <c r="H5" t="str">
        <f>'Rebate Information (Chillers-A)'!A27</f>
        <v>C10 - 20A</v>
      </c>
    </row>
    <row r="6" spans="2:8" x14ac:dyDescent="0.2">
      <c r="B6" s="81">
        <v>5.5</v>
      </c>
      <c r="C6">
        <v>175</v>
      </c>
      <c r="D6" s="66">
        <v>8.1999999999999993</v>
      </c>
      <c r="E6">
        <v>3</v>
      </c>
      <c r="F6">
        <v>0.60000000000000009</v>
      </c>
      <c r="G6" t="str">
        <f>'Rebate Information (Chillers-W)'!A28</f>
        <v>C3 - 20A</v>
      </c>
      <c r="H6" t="str">
        <f>'Rebate Information (Chillers-A)'!A30</f>
        <v>C9 - 20B</v>
      </c>
    </row>
    <row r="7" spans="2:8" x14ac:dyDescent="0.2">
      <c r="B7" s="81">
        <v>5.6</v>
      </c>
      <c r="C7">
        <v>200</v>
      </c>
      <c r="D7" s="66">
        <v>8.2999999999999989</v>
      </c>
      <c r="E7">
        <v>4</v>
      </c>
      <c r="F7">
        <v>0.65000000000000013</v>
      </c>
      <c r="G7" t="str">
        <f>'Rebate Information (Chillers-W)'!A29</f>
        <v>C4 - 20A</v>
      </c>
      <c r="H7" t="str">
        <f>'Rebate Information (Chillers-A)'!A31</f>
        <v>C10 - 20B</v>
      </c>
    </row>
    <row r="8" spans="2:8" x14ac:dyDescent="0.2">
      <c r="B8" s="81">
        <v>5.7</v>
      </c>
      <c r="C8">
        <v>225</v>
      </c>
      <c r="D8" s="66">
        <v>8.3999999999999986</v>
      </c>
      <c r="E8">
        <v>5</v>
      </c>
      <c r="F8">
        <v>0.70000000000000018</v>
      </c>
      <c r="G8" t="str">
        <f>'Rebate Information (Chillers-W)'!A30</f>
        <v>C5 - 20A</v>
      </c>
    </row>
    <row r="9" spans="2:8" x14ac:dyDescent="0.2">
      <c r="B9" s="81">
        <v>5.8</v>
      </c>
      <c r="C9">
        <v>250</v>
      </c>
      <c r="D9" s="66">
        <v>8.4999999999999982</v>
      </c>
      <c r="E9">
        <v>6</v>
      </c>
      <c r="F9">
        <v>0.75000000000000022</v>
      </c>
      <c r="G9" t="str">
        <f>'Rebate Information (Chillers-W)'!A31</f>
        <v>C6 - 20A</v>
      </c>
    </row>
    <row r="10" spans="2:8" x14ac:dyDescent="0.2">
      <c r="B10" s="81">
        <v>5.9</v>
      </c>
      <c r="C10">
        <v>275</v>
      </c>
      <c r="D10" s="66">
        <v>8.5999999999999979</v>
      </c>
      <c r="E10">
        <v>7</v>
      </c>
      <c r="F10">
        <v>0.80000000000000027</v>
      </c>
      <c r="G10" t="str">
        <f>'Rebate Information (Chillers-W)'!A32</f>
        <v>C7 - 20A</v>
      </c>
    </row>
    <row r="11" spans="2:8" x14ac:dyDescent="0.2">
      <c r="B11" s="81">
        <v>6</v>
      </c>
      <c r="C11">
        <v>300</v>
      </c>
      <c r="D11" s="66">
        <v>8.6999999999999975</v>
      </c>
      <c r="E11">
        <v>8</v>
      </c>
      <c r="F11">
        <v>0.85000000000000031</v>
      </c>
      <c r="G11" t="str">
        <f>'Rebate Information (Chillers-W)'!A33</f>
        <v>C8 - 20A</v>
      </c>
    </row>
    <row r="12" spans="2:8" x14ac:dyDescent="0.2">
      <c r="B12" s="81">
        <v>6.1</v>
      </c>
      <c r="C12" s="65" t="s">
        <v>117</v>
      </c>
      <c r="D12" s="66">
        <v>8.7999999999999972</v>
      </c>
      <c r="E12">
        <v>9</v>
      </c>
      <c r="F12">
        <v>0.90000000000000036</v>
      </c>
      <c r="G12" t="str">
        <f>'Rebate Information (Chillers-W)'!A36</f>
        <v>C1 - 20B</v>
      </c>
    </row>
    <row r="13" spans="2:8" x14ac:dyDescent="0.2">
      <c r="B13" s="81">
        <v>6.2</v>
      </c>
      <c r="C13" s="66"/>
      <c r="D13" s="66">
        <v>8.8999999999999968</v>
      </c>
      <c r="E13">
        <v>10</v>
      </c>
      <c r="F13">
        <v>0.9500000000000004</v>
      </c>
      <c r="G13" t="str">
        <f>'Rebate Information (Chillers-W)'!A37</f>
        <v>C2 - 20B</v>
      </c>
    </row>
    <row r="14" spans="2:8" x14ac:dyDescent="0.2">
      <c r="B14" s="81">
        <v>6.3</v>
      </c>
      <c r="C14" s="66"/>
      <c r="D14" s="66">
        <v>8.9999999999999964</v>
      </c>
      <c r="E14">
        <v>11</v>
      </c>
      <c r="F14">
        <v>1.0000000000000004</v>
      </c>
      <c r="G14" t="str">
        <f>'Rebate Information (Chillers-W)'!A38</f>
        <v>C3 - 20B</v>
      </c>
    </row>
    <row r="15" spans="2:8" x14ac:dyDescent="0.2">
      <c r="B15" s="81">
        <v>6.4</v>
      </c>
      <c r="C15" s="66"/>
      <c r="D15" s="66">
        <v>9.0999999999999961</v>
      </c>
      <c r="E15">
        <v>12</v>
      </c>
      <c r="F15">
        <v>1.0500000000000005</v>
      </c>
      <c r="G15" t="str">
        <f>'Rebate Information (Chillers-W)'!A39</f>
        <v>C4 - 20B</v>
      </c>
    </row>
    <row r="16" spans="2:8" x14ac:dyDescent="0.2">
      <c r="B16" s="81">
        <v>6.5</v>
      </c>
      <c r="C16" s="66"/>
      <c r="D16" s="66">
        <v>9.1999999999999957</v>
      </c>
      <c r="E16">
        <v>13</v>
      </c>
      <c r="F16">
        <v>1.1000000000000005</v>
      </c>
      <c r="G16" t="str">
        <f>'Rebate Information (Chillers-W)'!A40</f>
        <v>C5 - 20B</v>
      </c>
    </row>
    <row r="17" spans="2:7" x14ac:dyDescent="0.2">
      <c r="B17" s="81">
        <v>6.6</v>
      </c>
      <c r="C17" s="66"/>
      <c r="D17" s="66">
        <v>9.2999999999999954</v>
      </c>
      <c r="E17">
        <v>14</v>
      </c>
      <c r="F17">
        <v>1.1500000000000006</v>
      </c>
      <c r="G17" t="str">
        <f>'Rebate Information (Chillers-W)'!A41</f>
        <v>C6 - 20B</v>
      </c>
    </row>
    <row r="18" spans="2:7" x14ac:dyDescent="0.2">
      <c r="B18" s="81">
        <v>6.7</v>
      </c>
      <c r="C18" s="66"/>
      <c r="D18" s="66">
        <v>9.399999999999995</v>
      </c>
      <c r="E18">
        <v>15</v>
      </c>
      <c r="F18">
        <v>1.2000000000000006</v>
      </c>
      <c r="G18" t="str">
        <f>'Rebate Information (Chillers-W)'!A42</f>
        <v>C7 - 20B</v>
      </c>
    </row>
    <row r="19" spans="2:7" x14ac:dyDescent="0.2">
      <c r="B19" s="81">
        <v>6.8</v>
      </c>
      <c r="C19" s="66"/>
      <c r="D19" s="66">
        <v>9.5</v>
      </c>
      <c r="E19">
        <v>16</v>
      </c>
      <c r="F19">
        <v>1.2500000000000007</v>
      </c>
      <c r="G19" t="str">
        <f>'Rebate Information (Chillers-W)'!A43</f>
        <v>C8 - 20B</v>
      </c>
    </row>
    <row r="20" spans="2:7" x14ac:dyDescent="0.2">
      <c r="B20" s="81">
        <v>6.9</v>
      </c>
      <c r="C20" s="66"/>
      <c r="D20" s="66">
        <v>9.6</v>
      </c>
      <c r="E20">
        <v>17</v>
      </c>
      <c r="F20">
        <v>1.3000000000000007</v>
      </c>
    </row>
    <row r="21" spans="2:7" x14ac:dyDescent="0.2">
      <c r="B21" s="81">
        <v>7</v>
      </c>
      <c r="C21" s="66"/>
      <c r="D21" s="66">
        <v>9.6999999999999993</v>
      </c>
      <c r="E21">
        <v>18</v>
      </c>
      <c r="F21">
        <v>1.3500000000000008</v>
      </c>
    </row>
    <row r="22" spans="2:7" x14ac:dyDescent="0.2">
      <c r="B22" s="81">
        <v>7.1</v>
      </c>
      <c r="C22" s="66"/>
      <c r="D22" s="66">
        <v>9.8000000000000007</v>
      </c>
      <c r="E22">
        <v>19</v>
      </c>
      <c r="F22">
        <v>1.4000000000000008</v>
      </c>
    </row>
    <row r="23" spans="2:7" x14ac:dyDescent="0.2">
      <c r="B23" s="81">
        <v>7.2</v>
      </c>
      <c r="C23" s="66"/>
      <c r="D23" s="66">
        <v>9.9</v>
      </c>
      <c r="E23">
        <v>20</v>
      </c>
      <c r="F23">
        <v>1.4500000000000008</v>
      </c>
    </row>
    <row r="24" spans="2:7" x14ac:dyDescent="0.2">
      <c r="B24" s="81">
        <v>7.3</v>
      </c>
      <c r="C24" s="66"/>
      <c r="D24" s="66">
        <v>10</v>
      </c>
      <c r="F24">
        <v>1.5000000000000009</v>
      </c>
    </row>
    <row r="25" spans="2:7" x14ac:dyDescent="0.2">
      <c r="B25" s="81">
        <v>7.4</v>
      </c>
      <c r="C25" s="66"/>
      <c r="D25" s="66">
        <v>10.099999999999993</v>
      </c>
      <c r="F25">
        <v>1.5500000000000009</v>
      </c>
    </row>
    <row r="26" spans="2:7" x14ac:dyDescent="0.2">
      <c r="B26" s="81">
        <v>7.5</v>
      </c>
      <c r="C26" s="66"/>
      <c r="D26" s="66">
        <v>10.199999999999992</v>
      </c>
      <c r="F26">
        <v>1.600000000000001</v>
      </c>
    </row>
    <row r="27" spans="2:7" x14ac:dyDescent="0.2">
      <c r="B27" s="81">
        <v>7.6</v>
      </c>
      <c r="C27" s="66"/>
      <c r="D27" s="66">
        <v>10.299999999999992</v>
      </c>
    </row>
    <row r="28" spans="2:7" x14ac:dyDescent="0.2">
      <c r="B28" s="81">
        <v>7.7</v>
      </c>
      <c r="C28" s="66"/>
      <c r="D28" s="66">
        <v>10.399999999999991</v>
      </c>
    </row>
    <row r="29" spans="2:7" x14ac:dyDescent="0.2">
      <c r="B29" s="81">
        <v>7.8</v>
      </c>
      <c r="C29" s="66"/>
      <c r="D29" s="66">
        <v>10.499999999999991</v>
      </c>
    </row>
    <row r="30" spans="2:7" x14ac:dyDescent="0.2">
      <c r="B30" s="81">
        <v>7.9</v>
      </c>
      <c r="C30" s="66"/>
      <c r="D30" s="66">
        <v>10.599999999999991</v>
      </c>
    </row>
    <row r="31" spans="2:7" x14ac:dyDescent="0.2">
      <c r="B31" s="81">
        <v>8</v>
      </c>
      <c r="C31" s="66"/>
      <c r="D31" s="66">
        <v>10.69999999999999</v>
      </c>
    </row>
    <row r="32" spans="2:7" x14ac:dyDescent="0.2">
      <c r="B32" s="81">
        <v>8.1</v>
      </c>
      <c r="C32" s="66"/>
      <c r="D32" s="66">
        <v>10.79999999999999</v>
      </c>
    </row>
    <row r="33" spans="2:4" x14ac:dyDescent="0.2">
      <c r="B33" s="81">
        <v>8.1999999999999993</v>
      </c>
      <c r="C33" s="66"/>
      <c r="D33" s="66">
        <v>10.89999999999999</v>
      </c>
    </row>
    <row r="34" spans="2:4" x14ac:dyDescent="0.2">
      <c r="B34" s="81">
        <v>8.3000000000000007</v>
      </c>
      <c r="C34" s="66"/>
      <c r="D34" s="66">
        <v>10.999999999999989</v>
      </c>
    </row>
    <row r="35" spans="2:4" x14ac:dyDescent="0.2">
      <c r="B35" s="81">
        <v>8.4</v>
      </c>
      <c r="C35" s="66"/>
      <c r="D35" s="66">
        <v>11.099999999999989</v>
      </c>
    </row>
    <row r="36" spans="2:4" x14ac:dyDescent="0.2">
      <c r="B36" s="81">
        <v>8.5</v>
      </c>
      <c r="C36" s="66"/>
      <c r="D36" s="66">
        <v>11.199999999999989</v>
      </c>
    </row>
    <row r="37" spans="2:4" x14ac:dyDescent="0.2">
      <c r="B37" s="81">
        <v>8.6</v>
      </c>
      <c r="C37" s="66"/>
      <c r="D37" s="66">
        <v>11.299999999999988</v>
      </c>
    </row>
    <row r="38" spans="2:4" x14ac:dyDescent="0.2">
      <c r="B38" s="81">
        <v>8.6999999999999993</v>
      </c>
      <c r="C38" s="66"/>
      <c r="D38" s="66">
        <v>11.399999999999988</v>
      </c>
    </row>
    <row r="39" spans="2:4" x14ac:dyDescent="0.2">
      <c r="B39" s="81">
        <v>8.8000000000000007</v>
      </c>
      <c r="C39" s="66"/>
      <c r="D39" s="66">
        <v>11.499999999999988</v>
      </c>
    </row>
    <row r="40" spans="2:4" x14ac:dyDescent="0.2">
      <c r="B40" s="81">
        <v>8.9</v>
      </c>
      <c r="C40" s="66"/>
      <c r="D40" s="66">
        <v>11.599999999999987</v>
      </c>
    </row>
    <row r="41" spans="2:4" x14ac:dyDescent="0.2">
      <c r="B41" s="81">
        <v>9</v>
      </c>
      <c r="C41" s="66"/>
      <c r="D41" s="66">
        <v>11.699999999999987</v>
      </c>
    </row>
    <row r="42" spans="2:4" x14ac:dyDescent="0.2">
      <c r="B42" s="81">
        <v>9.1</v>
      </c>
      <c r="C42" s="66"/>
      <c r="D42" s="66">
        <v>11.799999999999986</v>
      </c>
    </row>
    <row r="43" spans="2:4" x14ac:dyDescent="0.2">
      <c r="B43" s="81">
        <v>9.1999999999999993</v>
      </c>
      <c r="C43" s="66"/>
      <c r="D43" s="66">
        <v>11.899999999999986</v>
      </c>
    </row>
    <row r="44" spans="2:4" x14ac:dyDescent="0.2">
      <c r="B44" s="81">
        <v>9.3000000000000007</v>
      </c>
      <c r="C44" s="66"/>
      <c r="D44" s="66">
        <v>11.999999999999986</v>
      </c>
    </row>
    <row r="45" spans="2:4" x14ac:dyDescent="0.2">
      <c r="B45" s="81">
        <v>9.4</v>
      </c>
      <c r="C45" s="66"/>
      <c r="D45" s="66">
        <v>12.099999999999985</v>
      </c>
    </row>
    <row r="46" spans="2:4" x14ac:dyDescent="0.2">
      <c r="B46" s="81">
        <v>9.5</v>
      </c>
      <c r="C46" s="66"/>
      <c r="D46" s="66">
        <v>12.199999999999985</v>
      </c>
    </row>
    <row r="47" spans="2:4" x14ac:dyDescent="0.2">
      <c r="B47" s="81">
        <v>9.6</v>
      </c>
      <c r="C47" s="66"/>
      <c r="D47" s="66">
        <v>12.299999999999985</v>
      </c>
    </row>
    <row r="48" spans="2:4" x14ac:dyDescent="0.2">
      <c r="B48" s="81">
        <v>9.6999999999999993</v>
      </c>
      <c r="C48" s="66"/>
      <c r="D48" s="66">
        <v>12.399999999999984</v>
      </c>
    </row>
    <row r="49" spans="2:4" x14ac:dyDescent="0.2">
      <c r="B49" s="81">
        <v>9.8000000000000007</v>
      </c>
      <c r="C49" s="66"/>
      <c r="D49" s="66">
        <v>12.499999999999984</v>
      </c>
    </row>
    <row r="50" spans="2:4" x14ac:dyDescent="0.2">
      <c r="B50" s="81">
        <v>9.9</v>
      </c>
      <c r="C50" s="66"/>
      <c r="D50" s="66">
        <v>12.599999999999984</v>
      </c>
    </row>
    <row r="51" spans="2:4" x14ac:dyDescent="0.2">
      <c r="B51" s="81">
        <v>10</v>
      </c>
      <c r="C51" s="66"/>
      <c r="D51" s="66">
        <v>12.699999999999983</v>
      </c>
    </row>
    <row r="52" spans="2:4" x14ac:dyDescent="0.2">
      <c r="B52" s="81">
        <v>10.1</v>
      </c>
      <c r="C52" s="66"/>
      <c r="D52" s="66">
        <v>12.799999999999983</v>
      </c>
    </row>
    <row r="53" spans="2:4" x14ac:dyDescent="0.2">
      <c r="B53" s="81">
        <v>10.199999999999983</v>
      </c>
      <c r="C53" s="66"/>
      <c r="D53" s="66">
        <v>12.899999999999983</v>
      </c>
    </row>
    <row r="54" spans="2:4" x14ac:dyDescent="0.2">
      <c r="B54" s="81">
        <v>10.299999999999983</v>
      </c>
      <c r="C54" s="66"/>
      <c r="D54" s="66">
        <v>12.999999999999982</v>
      </c>
    </row>
    <row r="55" spans="2:4" x14ac:dyDescent="0.2">
      <c r="B55" s="81">
        <v>10.399999999999983</v>
      </c>
      <c r="C55" s="66"/>
      <c r="D55" s="66">
        <v>13.099999999999982</v>
      </c>
    </row>
    <row r="56" spans="2:4" x14ac:dyDescent="0.2">
      <c r="B56" s="81">
        <v>10.499999999999982</v>
      </c>
      <c r="C56" s="66"/>
      <c r="D56" s="66">
        <v>13.199999999999982</v>
      </c>
    </row>
    <row r="57" spans="2:4" x14ac:dyDescent="0.2">
      <c r="B57" s="81">
        <v>10.599999999999982</v>
      </c>
      <c r="C57" s="66"/>
      <c r="D57" s="66">
        <v>13.299999999999981</v>
      </c>
    </row>
    <row r="58" spans="2:4" x14ac:dyDescent="0.2">
      <c r="B58" s="81">
        <v>10.699999999999982</v>
      </c>
      <c r="C58" s="66"/>
      <c r="D58" s="66">
        <v>13.399999999999981</v>
      </c>
    </row>
    <row r="59" spans="2:4" x14ac:dyDescent="0.2">
      <c r="B59" s="81">
        <v>10.799999999999981</v>
      </c>
      <c r="C59" s="66"/>
      <c r="D59" s="66">
        <v>13.49999999999998</v>
      </c>
    </row>
    <row r="60" spans="2:4" x14ac:dyDescent="0.2">
      <c r="B60" s="81">
        <v>10.899999999999981</v>
      </c>
      <c r="C60" s="66"/>
      <c r="D60" s="66">
        <v>13.59999999999998</v>
      </c>
    </row>
    <row r="61" spans="2:4" x14ac:dyDescent="0.2">
      <c r="B61" s="81">
        <v>10.99999999999998</v>
      </c>
      <c r="C61" s="66"/>
      <c r="D61" s="66">
        <v>13.69999999999998</v>
      </c>
    </row>
    <row r="62" spans="2:4" x14ac:dyDescent="0.2">
      <c r="B62" s="81">
        <v>11.09999999999998</v>
      </c>
      <c r="C62" s="66"/>
      <c r="D62" s="66">
        <v>13.799999999999979</v>
      </c>
    </row>
    <row r="63" spans="2:4" x14ac:dyDescent="0.2">
      <c r="B63" s="81">
        <v>11.19999999999998</v>
      </c>
      <c r="C63" s="66"/>
      <c r="D63" s="66">
        <v>13.899999999999979</v>
      </c>
    </row>
    <row r="64" spans="2:4" x14ac:dyDescent="0.2">
      <c r="B64" s="81">
        <v>11.299999999999979</v>
      </c>
      <c r="C64" s="66"/>
      <c r="D64" s="66">
        <v>13.999999999999979</v>
      </c>
    </row>
    <row r="65" spans="2:4" x14ac:dyDescent="0.2">
      <c r="B65" s="81">
        <v>11.399999999999979</v>
      </c>
      <c r="C65" s="66"/>
      <c r="D65" s="66">
        <v>14.099999999999978</v>
      </c>
    </row>
    <row r="66" spans="2:4" x14ac:dyDescent="0.2">
      <c r="B66" s="81">
        <v>11.499999999999979</v>
      </c>
      <c r="C66" s="66"/>
      <c r="D66" s="66">
        <v>14.199999999999978</v>
      </c>
    </row>
    <row r="67" spans="2:4" x14ac:dyDescent="0.2">
      <c r="B67" s="81">
        <v>11.599999999999978</v>
      </c>
      <c r="C67" s="66"/>
      <c r="D67" s="66">
        <v>14.299999999999978</v>
      </c>
    </row>
    <row r="68" spans="2:4" x14ac:dyDescent="0.2">
      <c r="B68" s="81">
        <v>11.699999999999978</v>
      </c>
      <c r="C68" s="66"/>
      <c r="D68" s="66">
        <v>14.399999999999977</v>
      </c>
    </row>
    <row r="69" spans="2:4" x14ac:dyDescent="0.2">
      <c r="B69" s="81">
        <v>11.799999999999978</v>
      </c>
      <c r="C69" s="66"/>
      <c r="D69" s="66">
        <v>14.499999999999977</v>
      </c>
    </row>
    <row r="70" spans="2:4" x14ac:dyDescent="0.2">
      <c r="B70" s="81">
        <v>11.899999999999977</v>
      </c>
      <c r="C70" s="66"/>
      <c r="D70" s="66">
        <v>14.599999999999977</v>
      </c>
    </row>
    <row r="71" spans="2:4" x14ac:dyDescent="0.2">
      <c r="B71" s="81">
        <v>11.999999999999977</v>
      </c>
      <c r="C71" s="66"/>
      <c r="D71" s="66">
        <v>14.699999999999976</v>
      </c>
    </row>
    <row r="72" spans="2:4" x14ac:dyDescent="0.2">
      <c r="B72" s="81">
        <v>12.099999999999977</v>
      </c>
      <c r="C72" s="66"/>
      <c r="D72" s="66">
        <v>14.799999999999976</v>
      </c>
    </row>
    <row r="73" spans="2:4" x14ac:dyDescent="0.2">
      <c r="B73" s="81">
        <v>12.199999999999976</v>
      </c>
      <c r="C73" s="66"/>
      <c r="D73" s="66">
        <v>14.899999999999975</v>
      </c>
    </row>
    <row r="74" spans="2:4" x14ac:dyDescent="0.2">
      <c r="B74" s="81">
        <v>12.299999999999976</v>
      </c>
      <c r="C74" s="66"/>
      <c r="D74" s="66">
        <v>14.999999999999975</v>
      </c>
    </row>
    <row r="75" spans="2:4" x14ac:dyDescent="0.2">
      <c r="B75" s="81">
        <v>12.399999999999975</v>
      </c>
      <c r="C75" s="66"/>
      <c r="D75" s="66">
        <v>15.099999999999975</v>
      </c>
    </row>
    <row r="76" spans="2:4" x14ac:dyDescent="0.2">
      <c r="B76" s="81">
        <v>12.499999999999975</v>
      </c>
      <c r="C76" s="66"/>
      <c r="D76" s="66">
        <v>15.199999999999974</v>
      </c>
    </row>
    <row r="77" spans="2:4" x14ac:dyDescent="0.2">
      <c r="B77" s="81">
        <v>12.599999999999975</v>
      </c>
      <c r="C77" s="66"/>
      <c r="D77" s="66">
        <v>15.299999999999974</v>
      </c>
    </row>
    <row r="78" spans="2:4" x14ac:dyDescent="0.2">
      <c r="B78" s="81">
        <v>12.699999999999974</v>
      </c>
      <c r="C78" s="66"/>
      <c r="D78" s="66">
        <v>15.399999999999974</v>
      </c>
    </row>
    <row r="79" spans="2:4" x14ac:dyDescent="0.2">
      <c r="B79" s="81">
        <v>12.799999999999974</v>
      </c>
      <c r="C79" s="66"/>
      <c r="D79" s="66">
        <v>15.499999999999973</v>
      </c>
    </row>
    <row r="80" spans="2:4" x14ac:dyDescent="0.2">
      <c r="B80" s="81">
        <v>12.899999999999974</v>
      </c>
      <c r="C80" s="66"/>
      <c r="D80" s="66">
        <v>15.599999999999973</v>
      </c>
    </row>
    <row r="81" spans="2:4" x14ac:dyDescent="0.2">
      <c r="B81" s="81">
        <v>12.999999999999973</v>
      </c>
      <c r="C81" s="66"/>
      <c r="D81" s="66">
        <v>15.699999999999973</v>
      </c>
    </row>
    <row r="82" spans="2:4" x14ac:dyDescent="0.2">
      <c r="B82" s="81">
        <v>13.099999999999973</v>
      </c>
      <c r="C82" s="66"/>
      <c r="D82" s="66">
        <v>15.799999999999972</v>
      </c>
    </row>
    <row r="83" spans="2:4" x14ac:dyDescent="0.2">
      <c r="B83" s="81">
        <v>13.199999999999973</v>
      </c>
      <c r="C83" s="66"/>
      <c r="D83" s="66">
        <v>15.899999999999972</v>
      </c>
    </row>
    <row r="84" spans="2:4" x14ac:dyDescent="0.2">
      <c r="B84" s="81">
        <v>13.299999999999972</v>
      </c>
      <c r="C84" s="66"/>
      <c r="D84" s="66">
        <v>15.999999999999972</v>
      </c>
    </row>
    <row r="85" spans="2:4" x14ac:dyDescent="0.2">
      <c r="B85" s="81">
        <v>13.399999999999972</v>
      </c>
      <c r="C85" s="66"/>
      <c r="D85" s="65" t="s">
        <v>111</v>
      </c>
    </row>
    <row r="86" spans="2:4" x14ac:dyDescent="0.2">
      <c r="B86" s="81">
        <v>13.499999999999972</v>
      </c>
      <c r="C86" s="66"/>
    </row>
    <row r="87" spans="2:4" x14ac:dyDescent="0.2">
      <c r="B87" s="81">
        <v>13.599999999999971</v>
      </c>
      <c r="C87" s="66"/>
    </row>
    <row r="88" spans="2:4" x14ac:dyDescent="0.2">
      <c r="B88" s="81">
        <v>13.699999999999971</v>
      </c>
      <c r="C88" s="66"/>
    </row>
    <row r="89" spans="2:4" x14ac:dyDescent="0.2">
      <c r="B89" s="81">
        <v>13.799999999999971</v>
      </c>
      <c r="C89" s="66"/>
    </row>
    <row r="90" spans="2:4" x14ac:dyDescent="0.2">
      <c r="B90" s="81">
        <v>13.89999999999997</v>
      </c>
      <c r="C90" s="66"/>
    </row>
    <row r="91" spans="2:4" x14ac:dyDescent="0.2">
      <c r="B91" s="81">
        <v>13.99999999999997</v>
      </c>
      <c r="C91" s="66"/>
    </row>
    <row r="92" spans="2:4" x14ac:dyDescent="0.2">
      <c r="B92" s="81">
        <v>14.099999999999969</v>
      </c>
      <c r="C92" s="66"/>
    </row>
    <row r="93" spans="2:4" x14ac:dyDescent="0.2">
      <c r="B93" s="81">
        <v>14.199999999999969</v>
      </c>
      <c r="C93" s="66"/>
    </row>
    <row r="94" spans="2:4" x14ac:dyDescent="0.2">
      <c r="B94" s="81">
        <v>14.299999999999969</v>
      </c>
      <c r="C94" s="66"/>
    </row>
    <row r="95" spans="2:4" x14ac:dyDescent="0.2">
      <c r="B95" s="81">
        <v>14.399999999999968</v>
      </c>
      <c r="C95" s="66"/>
    </row>
    <row r="96" spans="2:4" x14ac:dyDescent="0.2">
      <c r="B96" s="81">
        <v>14.499999999999968</v>
      </c>
      <c r="C96" s="66"/>
    </row>
    <row r="97" spans="2:3" x14ac:dyDescent="0.2">
      <c r="B97" s="81">
        <v>14.599999999999968</v>
      </c>
      <c r="C97" s="66"/>
    </row>
    <row r="98" spans="2:3" x14ac:dyDescent="0.2">
      <c r="B98" s="81">
        <v>14.699999999999967</v>
      </c>
      <c r="C98" s="66"/>
    </row>
    <row r="99" spans="2:3" x14ac:dyDescent="0.2">
      <c r="B99" s="81">
        <v>14.799999999999967</v>
      </c>
      <c r="C99" s="66"/>
    </row>
    <row r="100" spans="2:3" x14ac:dyDescent="0.2">
      <c r="B100" s="81">
        <v>14.899999999999967</v>
      </c>
      <c r="C100" s="66"/>
    </row>
    <row r="101" spans="2:3" x14ac:dyDescent="0.2">
      <c r="B101" s="81">
        <v>14.999999999999966</v>
      </c>
      <c r="C101" s="66"/>
    </row>
    <row r="102" spans="2:3" x14ac:dyDescent="0.2">
      <c r="B102" s="81">
        <v>15.099999999999966</v>
      </c>
      <c r="C102" s="66"/>
    </row>
    <row r="103" spans="2:3" x14ac:dyDescent="0.2">
      <c r="B103" s="81">
        <v>15.199999999999966</v>
      </c>
      <c r="C103" s="66"/>
    </row>
    <row r="104" spans="2:3" x14ac:dyDescent="0.2">
      <c r="B104" s="81">
        <v>15.299999999999965</v>
      </c>
      <c r="C104" s="66"/>
    </row>
    <row r="105" spans="2:3" x14ac:dyDescent="0.2">
      <c r="B105" s="81">
        <v>15.399999999999965</v>
      </c>
      <c r="C105" s="66"/>
    </row>
    <row r="106" spans="2:3" x14ac:dyDescent="0.2">
      <c r="B106" s="81">
        <v>15.499999999999964</v>
      </c>
      <c r="C106" s="66"/>
    </row>
    <row r="107" spans="2:3" x14ac:dyDescent="0.2">
      <c r="B107" s="81">
        <v>15.599999999999964</v>
      </c>
      <c r="C107" s="66"/>
    </row>
    <row r="108" spans="2:3" x14ac:dyDescent="0.2">
      <c r="B108" s="81">
        <v>15.699999999999964</v>
      </c>
      <c r="C108" s="66"/>
    </row>
    <row r="109" spans="2:3" x14ac:dyDescent="0.2">
      <c r="B109" s="81">
        <v>15.799999999999963</v>
      </c>
      <c r="C109" s="66"/>
    </row>
    <row r="110" spans="2:3" x14ac:dyDescent="0.2">
      <c r="B110" s="81">
        <v>15.899999999999963</v>
      </c>
      <c r="C110" s="66"/>
    </row>
    <row r="111" spans="2:3" x14ac:dyDescent="0.2">
      <c r="B111" s="81">
        <v>15.999999999999963</v>
      </c>
      <c r="C111" s="66"/>
    </row>
    <row r="112" spans="2:3" x14ac:dyDescent="0.2">
      <c r="B112" s="81">
        <v>16.099999999999962</v>
      </c>
      <c r="C112" s="66"/>
    </row>
    <row r="113" spans="2:3" x14ac:dyDescent="0.2">
      <c r="B113" s="81">
        <v>16.199999999999964</v>
      </c>
      <c r="C113" s="66"/>
    </row>
    <row r="114" spans="2:3" x14ac:dyDescent="0.2">
      <c r="B114" s="81">
        <v>16.299999999999965</v>
      </c>
      <c r="C114" s="66"/>
    </row>
    <row r="115" spans="2:3" x14ac:dyDescent="0.2">
      <c r="B115" s="81">
        <v>16.399999999999967</v>
      </c>
      <c r="C115" s="66"/>
    </row>
    <row r="116" spans="2:3" x14ac:dyDescent="0.2">
      <c r="B116" s="81">
        <v>16.499999999999968</v>
      </c>
      <c r="C116" s="66"/>
    </row>
    <row r="117" spans="2:3" x14ac:dyDescent="0.2">
      <c r="B117" s="81">
        <v>16.599999999999969</v>
      </c>
      <c r="C117" s="66"/>
    </row>
    <row r="118" spans="2:3" x14ac:dyDescent="0.2">
      <c r="B118" s="81">
        <v>16.699999999999971</v>
      </c>
      <c r="C118" s="66"/>
    </row>
    <row r="119" spans="2:3" x14ac:dyDescent="0.2">
      <c r="B119" s="81">
        <v>16.799999999999972</v>
      </c>
      <c r="C119" s="66"/>
    </row>
    <row r="120" spans="2:3" x14ac:dyDescent="0.2">
      <c r="B120" s="81">
        <v>16.899999999999974</v>
      </c>
      <c r="C120" s="66"/>
    </row>
    <row r="121" spans="2:3" x14ac:dyDescent="0.2">
      <c r="B121" s="81">
        <v>16.999999999999975</v>
      </c>
      <c r="C121" s="66"/>
    </row>
    <row r="122" spans="2:3" x14ac:dyDescent="0.2">
      <c r="B122" s="81">
        <v>17.099999999999977</v>
      </c>
      <c r="C122" s="66"/>
    </row>
    <row r="123" spans="2:3" x14ac:dyDescent="0.2">
      <c r="B123" s="81">
        <v>17.199999999999978</v>
      </c>
      <c r="C123" s="66"/>
    </row>
    <row r="124" spans="2:3" x14ac:dyDescent="0.2">
      <c r="B124" s="81">
        <v>17.299999999999979</v>
      </c>
      <c r="C124" s="66"/>
    </row>
    <row r="125" spans="2:3" x14ac:dyDescent="0.2">
      <c r="B125" s="81">
        <v>17.399999999999981</v>
      </c>
      <c r="C125" s="66"/>
    </row>
    <row r="126" spans="2:3" x14ac:dyDescent="0.2">
      <c r="B126" s="81">
        <v>17.499999999999982</v>
      </c>
      <c r="C126" s="66"/>
    </row>
    <row r="127" spans="2:3" x14ac:dyDescent="0.2">
      <c r="B127" s="81">
        <v>17.599999999999984</v>
      </c>
      <c r="C127" s="66"/>
    </row>
    <row r="128" spans="2:3" x14ac:dyDescent="0.2">
      <c r="B128" s="81">
        <v>17.699999999999985</v>
      </c>
      <c r="C128" s="66"/>
    </row>
    <row r="129" spans="2:3" x14ac:dyDescent="0.2">
      <c r="B129" s="81">
        <v>17.799999999999986</v>
      </c>
      <c r="C129" s="66"/>
    </row>
    <row r="130" spans="2:3" x14ac:dyDescent="0.2">
      <c r="B130" s="81">
        <v>17.899999999999988</v>
      </c>
      <c r="C130" s="66"/>
    </row>
    <row r="131" spans="2:3" x14ac:dyDescent="0.2">
      <c r="B131" s="81">
        <v>17.999999999999989</v>
      </c>
      <c r="C131" s="66"/>
    </row>
    <row r="132" spans="2:3" x14ac:dyDescent="0.2">
      <c r="B132" s="81">
        <v>18.099999999999991</v>
      </c>
      <c r="C132" s="66"/>
    </row>
    <row r="133" spans="2:3" x14ac:dyDescent="0.2">
      <c r="B133" s="81">
        <v>18.199999999999992</v>
      </c>
      <c r="C133" s="66"/>
    </row>
    <row r="134" spans="2:3" x14ac:dyDescent="0.2">
      <c r="B134" s="81">
        <v>18.299999999999994</v>
      </c>
      <c r="C134" s="66"/>
    </row>
    <row r="135" spans="2:3" x14ac:dyDescent="0.2">
      <c r="B135" s="81">
        <v>18.399999999999995</v>
      </c>
      <c r="C135" s="66"/>
    </row>
    <row r="136" spans="2:3" x14ac:dyDescent="0.2">
      <c r="B136" s="81">
        <v>18.499999999999996</v>
      </c>
      <c r="C136" s="66"/>
    </row>
    <row r="137" spans="2:3" x14ac:dyDescent="0.2">
      <c r="B137" s="81">
        <v>18.599999999999998</v>
      </c>
      <c r="C137" s="66"/>
    </row>
    <row r="138" spans="2:3" x14ac:dyDescent="0.2">
      <c r="B138" s="81">
        <v>18.7</v>
      </c>
      <c r="C138" s="66"/>
    </row>
    <row r="139" spans="2:3" x14ac:dyDescent="0.2">
      <c r="B139" s="81">
        <v>18.8</v>
      </c>
      <c r="C139" s="66"/>
    </row>
    <row r="140" spans="2:3" x14ac:dyDescent="0.2">
      <c r="B140" s="81">
        <v>18.900000000000002</v>
      </c>
      <c r="C140" s="66"/>
    </row>
    <row r="141" spans="2:3" x14ac:dyDescent="0.2">
      <c r="B141" s="81">
        <v>19.000000000000004</v>
      </c>
      <c r="C141" s="66"/>
    </row>
    <row r="142" spans="2:3" x14ac:dyDescent="0.2">
      <c r="B142" s="81">
        <v>19.100000000000005</v>
      </c>
      <c r="C142" s="66"/>
    </row>
    <row r="143" spans="2:3" x14ac:dyDescent="0.2">
      <c r="B143" s="81">
        <v>19.200000000000006</v>
      </c>
      <c r="C143" s="66"/>
    </row>
    <row r="144" spans="2:3" x14ac:dyDescent="0.2">
      <c r="B144" s="81">
        <v>19.300000000000008</v>
      </c>
      <c r="C144" s="66"/>
    </row>
    <row r="145" spans="2:3" x14ac:dyDescent="0.2">
      <c r="B145" s="81">
        <v>19.400000000000009</v>
      </c>
      <c r="C145" s="66"/>
    </row>
    <row r="146" spans="2:3" x14ac:dyDescent="0.2">
      <c r="B146" s="81">
        <v>19.500000000000011</v>
      </c>
      <c r="C146" s="66"/>
    </row>
    <row r="147" spans="2:3" x14ac:dyDescent="0.2">
      <c r="B147" s="81">
        <v>19.600000000000012</v>
      </c>
      <c r="C147" s="66"/>
    </row>
    <row r="148" spans="2:3" x14ac:dyDescent="0.2">
      <c r="B148" s="81">
        <v>19.700000000000014</v>
      </c>
      <c r="C148" s="66"/>
    </row>
    <row r="149" spans="2:3" x14ac:dyDescent="0.2">
      <c r="B149" s="81">
        <v>19.800000000000015</v>
      </c>
      <c r="C149" s="66"/>
    </row>
    <row r="150" spans="2:3" x14ac:dyDescent="0.2">
      <c r="B150" s="81">
        <v>19.900000000000016</v>
      </c>
      <c r="C150" s="66"/>
    </row>
    <row r="151" spans="2:3" x14ac:dyDescent="0.2">
      <c r="B151" s="81">
        <v>20.000000000000018</v>
      </c>
      <c r="C151" s="66"/>
    </row>
    <row r="152" spans="2:3" x14ac:dyDescent="0.2">
      <c r="B152" s="83" t="s">
        <v>122</v>
      </c>
      <c r="C152" s="65"/>
    </row>
  </sheetData>
  <phoneticPr fontId="0"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7"/>
  <dimension ref="A1:C31"/>
  <sheetViews>
    <sheetView zoomScaleNormal="100" workbookViewId="0">
      <selection activeCell="C21" sqref="C21"/>
    </sheetView>
  </sheetViews>
  <sheetFormatPr defaultColWidth="9.140625" defaultRowHeight="15" x14ac:dyDescent="0.25"/>
  <cols>
    <col min="1" max="1" width="10.7109375" style="33" bestFit="1" customWidth="1"/>
    <col min="2" max="2" width="9.140625" style="26"/>
    <col min="3" max="3" width="111.7109375" style="26" customWidth="1"/>
    <col min="4" max="16384" width="9.140625" style="26"/>
  </cols>
  <sheetData>
    <row r="1" spans="1:3" s="105" customFormat="1" x14ac:dyDescent="0.25">
      <c r="A1" s="104" t="s">
        <v>72</v>
      </c>
      <c r="B1" s="105" t="s">
        <v>73</v>
      </c>
      <c r="C1" s="105" t="s">
        <v>74</v>
      </c>
    </row>
    <row r="2" spans="1:3" s="103" customFormat="1" x14ac:dyDescent="0.25">
      <c r="A2" s="100">
        <v>40106</v>
      </c>
      <c r="B2" s="106" t="s">
        <v>148</v>
      </c>
      <c r="C2" s="107" t="s">
        <v>150</v>
      </c>
    </row>
    <row r="3" spans="1:3" s="103" customFormat="1" x14ac:dyDescent="0.25">
      <c r="A3" s="100">
        <v>40106</v>
      </c>
      <c r="B3" s="106" t="s">
        <v>148</v>
      </c>
      <c r="C3" s="107" t="s">
        <v>149</v>
      </c>
    </row>
    <row r="4" spans="1:3" s="103" customFormat="1" ht="30" x14ac:dyDescent="0.25">
      <c r="A4" s="100">
        <v>40106</v>
      </c>
      <c r="B4" s="106" t="s">
        <v>148</v>
      </c>
      <c r="C4" s="107" t="s">
        <v>151</v>
      </c>
    </row>
    <row r="5" spans="1:3" s="103" customFormat="1" x14ac:dyDescent="0.25">
      <c r="A5" s="100">
        <v>40106</v>
      </c>
      <c r="B5" s="106" t="s">
        <v>148</v>
      </c>
      <c r="C5" s="107" t="s">
        <v>152</v>
      </c>
    </row>
    <row r="6" spans="1:3" s="103" customFormat="1" ht="30" x14ac:dyDescent="0.25">
      <c r="A6" s="100">
        <v>40224</v>
      </c>
      <c r="B6" s="101" t="s">
        <v>153</v>
      </c>
      <c r="C6" s="102" t="s">
        <v>154</v>
      </c>
    </row>
    <row r="7" spans="1:3" x14ac:dyDescent="0.25">
      <c r="A7" s="33">
        <v>40224</v>
      </c>
      <c r="B7" s="34" t="s">
        <v>153</v>
      </c>
      <c r="C7" s="108" t="s">
        <v>155</v>
      </c>
    </row>
    <row r="8" spans="1:3" x14ac:dyDescent="0.25">
      <c r="A8" s="33">
        <v>40224</v>
      </c>
      <c r="B8" s="34" t="s">
        <v>153</v>
      </c>
      <c r="C8" s="35" t="s">
        <v>156</v>
      </c>
    </row>
    <row r="9" spans="1:3" ht="30" x14ac:dyDescent="0.25">
      <c r="A9" s="33">
        <v>40224</v>
      </c>
      <c r="B9" s="34" t="s">
        <v>153</v>
      </c>
      <c r="C9" s="35" t="s">
        <v>172</v>
      </c>
    </row>
    <row r="10" spans="1:3" x14ac:dyDescent="0.25">
      <c r="A10" s="33">
        <v>40241</v>
      </c>
      <c r="B10" s="34" t="s">
        <v>153</v>
      </c>
      <c r="C10" s="35" t="s">
        <v>171</v>
      </c>
    </row>
    <row r="11" spans="1:3" s="103" customFormat="1" x14ac:dyDescent="0.25">
      <c r="A11" s="100">
        <v>40224</v>
      </c>
      <c r="B11" s="101" t="s">
        <v>153</v>
      </c>
      <c r="C11" s="102" t="s">
        <v>157</v>
      </c>
    </row>
    <row r="12" spans="1:3" ht="30" x14ac:dyDescent="0.25">
      <c r="B12" s="34" t="s">
        <v>174</v>
      </c>
      <c r="C12" s="35" t="s">
        <v>175</v>
      </c>
    </row>
    <row r="13" spans="1:3" x14ac:dyDescent="0.25">
      <c r="A13" s="33">
        <v>42018</v>
      </c>
      <c r="B13" s="34" t="s">
        <v>245</v>
      </c>
      <c r="C13" s="35" t="s">
        <v>246</v>
      </c>
    </row>
    <row r="14" spans="1:3" x14ac:dyDescent="0.25">
      <c r="A14" s="33">
        <v>42738</v>
      </c>
      <c r="B14" s="459" t="s">
        <v>368</v>
      </c>
      <c r="C14" s="460" t="s">
        <v>369</v>
      </c>
    </row>
    <row r="15" spans="1:3" x14ac:dyDescent="0.25">
      <c r="B15" s="34"/>
      <c r="C15" s="460" t="s">
        <v>370</v>
      </c>
    </row>
    <row r="16" spans="1:3" x14ac:dyDescent="0.25">
      <c r="B16" s="34"/>
      <c r="C16" s="460" t="s">
        <v>371</v>
      </c>
    </row>
    <row r="17" spans="1:3" x14ac:dyDescent="0.25">
      <c r="B17" s="34"/>
      <c r="C17" s="460" t="s">
        <v>372</v>
      </c>
    </row>
    <row r="18" spans="1:3" x14ac:dyDescent="0.25">
      <c r="A18" s="33">
        <v>45211</v>
      </c>
      <c r="B18" s="516" t="s">
        <v>527</v>
      </c>
      <c r="C18" s="517" t="s">
        <v>533</v>
      </c>
    </row>
    <row r="19" spans="1:3" x14ac:dyDescent="0.25">
      <c r="B19" s="34"/>
      <c r="C19" s="517" t="s">
        <v>531</v>
      </c>
    </row>
    <row r="20" spans="1:3" x14ac:dyDescent="0.25">
      <c r="A20" s="33">
        <v>45230</v>
      </c>
      <c r="B20" s="526" t="s">
        <v>527</v>
      </c>
      <c r="C20" s="527" t="s">
        <v>545</v>
      </c>
    </row>
    <row r="21" spans="1:3" x14ac:dyDescent="0.25">
      <c r="B21" s="34"/>
      <c r="C21" s="35"/>
    </row>
    <row r="22" spans="1:3" x14ac:dyDescent="0.25">
      <c r="B22" s="34"/>
      <c r="C22" s="35"/>
    </row>
    <row r="23" spans="1:3" x14ac:dyDescent="0.25">
      <c r="B23" s="34"/>
      <c r="C23" s="35"/>
    </row>
    <row r="24" spans="1:3" x14ac:dyDescent="0.25">
      <c r="B24" s="34"/>
      <c r="C24" s="35"/>
    </row>
    <row r="25" spans="1:3" x14ac:dyDescent="0.25">
      <c r="B25" s="34"/>
      <c r="C25" s="35"/>
    </row>
    <row r="26" spans="1:3" x14ac:dyDescent="0.25">
      <c r="B26" s="34"/>
      <c r="C26" s="35"/>
    </row>
    <row r="27" spans="1:3" x14ac:dyDescent="0.25">
      <c r="B27" s="34"/>
      <c r="C27" s="35"/>
    </row>
    <row r="28" spans="1:3" x14ac:dyDescent="0.25">
      <c r="B28" s="34"/>
    </row>
    <row r="29" spans="1:3" x14ac:dyDescent="0.25">
      <c r="B29" s="34"/>
    </row>
    <row r="30" spans="1:3" x14ac:dyDescent="0.25">
      <c r="B30" s="34"/>
    </row>
    <row r="31" spans="1:3" x14ac:dyDescent="0.25">
      <c r="B31" s="34"/>
    </row>
  </sheetData>
  <phoneticPr fontId="0"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2">
    <pageSetUpPr fitToPage="1"/>
  </sheetPr>
  <dimension ref="B5:M60"/>
  <sheetViews>
    <sheetView showGridLines="0" topLeftCell="A37" zoomScaleNormal="100" zoomScaleSheetLayoutView="115" workbookViewId="0">
      <selection activeCell="Q60" sqref="Q60"/>
    </sheetView>
  </sheetViews>
  <sheetFormatPr defaultColWidth="9.140625" defaultRowHeight="15" x14ac:dyDescent="0.25"/>
  <cols>
    <col min="1" max="1" width="1.85546875" style="26" customWidth="1"/>
    <col min="2" max="2" width="10.5703125" style="26" customWidth="1"/>
    <col min="3" max="5" width="9.140625" style="26"/>
    <col min="6" max="6" width="12.28515625" style="26" customWidth="1"/>
    <col min="7" max="9" width="9.140625" style="26"/>
    <col min="10" max="10" width="10.7109375" style="26" customWidth="1"/>
    <col min="11" max="11" width="9.140625" style="26"/>
    <col min="12" max="12" width="12.85546875" style="26" customWidth="1"/>
    <col min="13" max="13" width="9.140625" style="26" customWidth="1"/>
    <col min="14" max="16384" width="9.140625" style="26"/>
  </cols>
  <sheetData>
    <row r="5" spans="2:12" ht="2.25" customHeight="1" x14ac:dyDescent="0.25"/>
    <row r="7" spans="2:12" ht="26.25" customHeight="1" x14ac:dyDescent="0.25"/>
    <row r="9" spans="2:12" x14ac:dyDescent="0.25"/>
    <row r="10" spans="2:12" x14ac:dyDescent="0.25">
      <c r="B10" s="531"/>
      <c r="C10" s="531"/>
      <c r="D10" s="531"/>
      <c r="E10" s="531"/>
      <c r="F10" s="531"/>
      <c r="G10" s="531"/>
      <c r="H10" s="531"/>
      <c r="I10" s="531"/>
      <c r="J10" s="531"/>
      <c r="K10" s="531"/>
      <c r="L10" s="531"/>
    </row>
    <row r="11" spans="2:12" s="28" customFormat="1" ht="11.25" x14ac:dyDescent="0.2">
      <c r="B11" s="28" t="s">
        <v>247</v>
      </c>
      <c r="G11" s="28" t="s">
        <v>248</v>
      </c>
    </row>
    <row r="12" spans="2:12" ht="7.5" customHeight="1" x14ac:dyDescent="0.25"/>
    <row r="13" spans="2:12" x14ac:dyDescent="0.25">
      <c r="B13" s="531"/>
      <c r="C13" s="531"/>
      <c r="D13" s="531"/>
      <c r="E13" s="531"/>
      <c r="F13" s="531"/>
      <c r="G13" s="27"/>
      <c r="H13" s="30"/>
      <c r="I13" s="30"/>
      <c r="J13" s="27"/>
      <c r="K13" s="29"/>
      <c r="L13" s="30"/>
    </row>
    <row r="14" spans="2:12" s="28" customFormat="1" ht="11.25" x14ac:dyDescent="0.2">
      <c r="B14" s="28" t="s">
        <v>1</v>
      </c>
      <c r="G14" s="28" t="s">
        <v>2</v>
      </c>
      <c r="J14" s="28" t="s">
        <v>3</v>
      </c>
      <c r="K14" s="28" t="s">
        <v>4</v>
      </c>
    </row>
    <row r="15" spans="2:12" ht="7.5" customHeight="1" x14ac:dyDescent="0.25"/>
    <row r="16" spans="2:12" x14ac:dyDescent="0.25">
      <c r="B16" s="531"/>
      <c r="C16" s="531"/>
      <c r="D16" s="531"/>
      <c r="E16" s="531"/>
      <c r="F16" s="531"/>
      <c r="G16" s="27"/>
      <c r="H16" s="30"/>
      <c r="I16" s="30"/>
      <c r="J16" s="27"/>
      <c r="K16" s="29"/>
      <c r="L16" s="30"/>
    </row>
    <row r="17" spans="2:13" s="28" customFormat="1" ht="11.25" x14ac:dyDescent="0.2">
      <c r="B17" s="28" t="s">
        <v>5</v>
      </c>
      <c r="G17" s="28" t="s">
        <v>2</v>
      </c>
      <c r="J17" s="28" t="s">
        <v>3</v>
      </c>
      <c r="K17" s="28" t="s">
        <v>4</v>
      </c>
    </row>
    <row r="18" spans="2:13" ht="7.5" customHeight="1" x14ac:dyDescent="0.25"/>
    <row r="19" spans="2:13" x14ac:dyDescent="0.25">
      <c r="B19" s="532"/>
      <c r="C19" s="532"/>
      <c r="D19" s="532"/>
      <c r="E19" s="532"/>
      <c r="F19" s="532"/>
    </row>
    <row r="20" spans="2:13" s="28" customFormat="1" ht="11.25" x14ac:dyDescent="0.2">
      <c r="B20" s="28" t="s">
        <v>6</v>
      </c>
    </row>
    <row r="22" spans="2:13" x14ac:dyDescent="0.25">
      <c r="B22" s="28"/>
      <c r="M22" s="28"/>
    </row>
    <row r="23" spans="2:13" ht="16.5" customHeight="1" x14ac:dyDescent="0.25">
      <c r="K23" s="531"/>
      <c r="L23" s="531"/>
    </row>
    <row r="24" spans="2:13" ht="16.5" customHeight="1" x14ac:dyDescent="0.25">
      <c r="B24" s="114"/>
    </row>
    <row r="25" spans="2:13" ht="18" hidden="1" customHeight="1" x14ac:dyDescent="0.25">
      <c r="B25" s="31"/>
      <c r="D25" s="28"/>
      <c r="J25" s="32"/>
      <c r="K25" s="32"/>
      <c r="L25" s="32"/>
    </row>
    <row r="26" spans="2:13" ht="6.75" customHeight="1" x14ac:dyDescent="0.25">
      <c r="B26" s="31"/>
      <c r="D26" s="28"/>
      <c r="J26" s="32"/>
      <c r="K26" s="32"/>
      <c r="L26" s="32"/>
    </row>
    <row r="27" spans="2:13" ht="15" customHeight="1" x14ac:dyDescent="0.25">
      <c r="B27" s="28"/>
    </row>
    <row r="28" spans="2:13" ht="16.5" customHeight="1" x14ac:dyDescent="0.25">
      <c r="K28" s="531"/>
      <c r="L28" s="531"/>
    </row>
    <row r="32" spans="2:13" ht="10.5" customHeight="1" x14ac:dyDescent="0.25"/>
    <row r="33" spans="2:12" ht="3" hidden="1" customHeight="1" x14ac:dyDescent="0.25"/>
    <row r="34" spans="2:12" s="28" customFormat="1" ht="12.75" x14ac:dyDescent="0.2">
      <c r="B34" s="531"/>
      <c r="C34" s="531"/>
      <c r="D34" s="531"/>
      <c r="E34" s="531"/>
      <c r="F34" s="531"/>
      <c r="G34" s="531"/>
      <c r="H34" s="531"/>
      <c r="I34" s="533"/>
      <c r="J34" s="533"/>
      <c r="K34" s="533"/>
      <c r="L34" s="533"/>
    </row>
    <row r="35" spans="2:12" s="28" customFormat="1" ht="11.25" x14ac:dyDescent="0.2">
      <c r="B35" s="28" t="s">
        <v>249</v>
      </c>
      <c r="I35" s="28" t="s">
        <v>8</v>
      </c>
    </row>
    <row r="36" spans="2:12" ht="7.5" customHeight="1" x14ac:dyDescent="0.25"/>
    <row r="37" spans="2:12" s="28" customFormat="1" ht="12.75" x14ac:dyDescent="0.2">
      <c r="B37" s="531"/>
      <c r="C37" s="531"/>
      <c r="D37" s="531"/>
      <c r="E37" s="531"/>
      <c r="F37" s="531"/>
      <c r="G37" s="531"/>
      <c r="H37" s="531"/>
      <c r="I37" s="536"/>
      <c r="J37" s="536"/>
      <c r="K37" s="536"/>
      <c r="L37" s="536"/>
    </row>
    <row r="38" spans="2:12" s="28" customFormat="1" ht="11.25" x14ac:dyDescent="0.2">
      <c r="B38" s="28" t="s">
        <v>9</v>
      </c>
    </row>
    <row r="43" spans="2:12" ht="0.95" customHeight="1" x14ac:dyDescent="0.25"/>
    <row r="44" spans="2:12" x14ac:dyDescent="0.25">
      <c r="B44" s="531"/>
      <c r="C44" s="531"/>
      <c r="D44" s="531"/>
      <c r="E44" s="531"/>
      <c r="F44" s="531"/>
      <c r="G44" s="531"/>
      <c r="H44" s="531"/>
      <c r="I44" s="539"/>
      <c r="J44" s="536"/>
      <c r="K44" s="536"/>
      <c r="L44" s="536"/>
    </row>
    <row r="45" spans="2:12" s="28" customFormat="1" ht="11.25" x14ac:dyDescent="0.2">
      <c r="B45" s="28" t="s">
        <v>10</v>
      </c>
      <c r="I45" s="28" t="s">
        <v>11</v>
      </c>
    </row>
    <row r="49" spans="2:12" ht="9" customHeight="1" x14ac:dyDescent="0.25"/>
    <row r="50" spans="2:12" x14ac:dyDescent="0.25">
      <c r="B50" s="531"/>
      <c r="C50" s="531"/>
      <c r="D50" s="531"/>
      <c r="E50" s="531"/>
      <c r="F50" s="531"/>
      <c r="G50" s="531"/>
      <c r="H50" s="531"/>
      <c r="I50" s="531"/>
      <c r="J50" s="531"/>
      <c r="K50" s="531"/>
      <c r="L50" s="531"/>
    </row>
    <row r="51" spans="2:12" s="28" customFormat="1" ht="11.25" x14ac:dyDescent="0.2">
      <c r="B51" s="28" t="s">
        <v>0</v>
      </c>
    </row>
    <row r="52" spans="2:12" ht="3" customHeight="1" x14ac:dyDescent="0.25"/>
    <row r="53" spans="2:12" x14ac:dyDescent="0.25">
      <c r="B53" s="531"/>
      <c r="C53" s="531"/>
      <c r="D53" s="531"/>
      <c r="E53" s="531"/>
      <c r="F53" s="531"/>
      <c r="G53" s="531"/>
      <c r="H53" s="531"/>
      <c r="I53" s="531"/>
      <c r="J53" s="27"/>
      <c r="K53" s="536"/>
      <c r="L53" s="536"/>
    </row>
    <row r="54" spans="2:12" s="28" customFormat="1" ht="11.25" x14ac:dyDescent="0.2">
      <c r="B54" s="28" t="s">
        <v>12</v>
      </c>
      <c r="G54" s="28" t="s">
        <v>2</v>
      </c>
      <c r="J54" s="28" t="s">
        <v>3</v>
      </c>
      <c r="K54" s="28" t="s">
        <v>4</v>
      </c>
    </row>
    <row r="55" spans="2:12" ht="3" customHeight="1" x14ac:dyDescent="0.25"/>
    <row r="56" spans="2:12" s="28" customFormat="1" x14ac:dyDescent="0.25">
      <c r="B56" s="531"/>
      <c r="C56" s="531"/>
      <c r="D56" s="531"/>
      <c r="E56" s="531"/>
      <c r="F56" s="531"/>
      <c r="G56" s="531"/>
      <c r="H56" s="531"/>
      <c r="I56" s="533"/>
      <c r="J56" s="538"/>
      <c r="K56" s="538"/>
      <c r="L56" s="538"/>
    </row>
    <row r="57" spans="2:12" s="28" customFormat="1" ht="11.25" x14ac:dyDescent="0.2">
      <c r="B57" s="28" t="s">
        <v>7</v>
      </c>
      <c r="I57" s="28" t="s">
        <v>8</v>
      </c>
    </row>
    <row r="58" spans="2:12" ht="3" customHeight="1" x14ac:dyDescent="0.25"/>
    <row r="59" spans="2:12" x14ac:dyDescent="0.25">
      <c r="B59" s="534"/>
      <c r="C59" s="535"/>
      <c r="D59" s="535"/>
      <c r="E59" s="535"/>
      <c r="F59" s="535"/>
      <c r="G59" s="535"/>
      <c r="H59" s="535"/>
      <c r="I59" s="536"/>
      <c r="J59" s="537"/>
      <c r="K59" s="537"/>
      <c r="L59" s="537"/>
    </row>
    <row r="60" spans="2:12" s="28" customFormat="1" ht="11.25" x14ac:dyDescent="0.2">
      <c r="B60" s="28" t="s">
        <v>9</v>
      </c>
    </row>
  </sheetData>
  <sheetProtection selectLockedCells="1"/>
  <mergeCells count="21">
    <mergeCell ref="B50:L50"/>
    <mergeCell ref="I34:L34"/>
    <mergeCell ref="B59:H59"/>
    <mergeCell ref="I59:L59"/>
    <mergeCell ref="B53:F53"/>
    <mergeCell ref="G53:I53"/>
    <mergeCell ref="K53:L53"/>
    <mergeCell ref="I37:L37"/>
    <mergeCell ref="I56:L56"/>
    <mergeCell ref="I44:L44"/>
    <mergeCell ref="B56:H56"/>
    <mergeCell ref="B44:H44"/>
    <mergeCell ref="B37:H37"/>
    <mergeCell ref="B10:F10"/>
    <mergeCell ref="G10:L10"/>
    <mergeCell ref="B13:F13"/>
    <mergeCell ref="B34:H34"/>
    <mergeCell ref="K28:L28"/>
    <mergeCell ref="B16:F16"/>
    <mergeCell ref="B19:F19"/>
    <mergeCell ref="K23:L23"/>
  </mergeCells>
  <phoneticPr fontId="0" type="noConversion"/>
  <printOptions horizontalCentered="1" verticalCentered="1"/>
  <pageMargins left="0" right="0" top="0" bottom="0" header="0" footer="0"/>
  <pageSetup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40697" r:id="rId4" name="Check Box 25">
              <controlPr locked="0" defaultSize="0" autoFill="0" autoLine="0" autoPict="0">
                <anchor moveWithCells="1">
                  <from>
                    <xdr:col>1</xdr:col>
                    <xdr:colOff>19050</xdr:colOff>
                    <xdr:row>45</xdr:row>
                    <xdr:rowOff>9525</xdr:rowOff>
                  </from>
                  <to>
                    <xdr:col>1</xdr:col>
                    <xdr:colOff>323850</xdr:colOff>
                    <xdr:row>46</xdr:row>
                    <xdr:rowOff>85725</xdr:rowOff>
                  </to>
                </anchor>
              </controlPr>
            </control>
          </mc:Choice>
        </mc:AlternateContent>
        <mc:AlternateContent xmlns:mc="http://schemas.openxmlformats.org/markup-compatibility/2006">
          <mc:Choice Requires="x14">
            <control shapeId="541640" r:id="rId5" name="Option Button 968">
              <controlPr defaultSize="0" autoFill="0" autoLine="0" autoPict="0">
                <anchor moveWithCells="1">
                  <from>
                    <xdr:col>2</xdr:col>
                    <xdr:colOff>180975</xdr:colOff>
                    <xdr:row>21</xdr:row>
                    <xdr:rowOff>9525</xdr:rowOff>
                  </from>
                  <to>
                    <xdr:col>4</xdr:col>
                    <xdr:colOff>19050</xdr:colOff>
                    <xdr:row>22</xdr:row>
                    <xdr:rowOff>28575</xdr:rowOff>
                  </to>
                </anchor>
              </controlPr>
            </control>
          </mc:Choice>
        </mc:AlternateContent>
        <mc:AlternateContent xmlns:mc="http://schemas.openxmlformats.org/markup-compatibility/2006">
          <mc:Choice Requires="x14">
            <control shapeId="541641" r:id="rId6" name="Option Button 969">
              <controlPr defaultSize="0" autoFill="0" autoLine="0" autoPict="0">
                <anchor moveWithCells="1">
                  <from>
                    <xdr:col>3</xdr:col>
                    <xdr:colOff>342900</xdr:colOff>
                    <xdr:row>21</xdr:row>
                    <xdr:rowOff>9525</xdr:rowOff>
                  </from>
                  <to>
                    <xdr:col>5</xdr:col>
                    <xdr:colOff>180975</xdr:colOff>
                    <xdr:row>22</xdr:row>
                    <xdr:rowOff>28575</xdr:rowOff>
                  </to>
                </anchor>
              </controlPr>
            </control>
          </mc:Choice>
        </mc:AlternateContent>
        <mc:AlternateContent xmlns:mc="http://schemas.openxmlformats.org/markup-compatibility/2006">
          <mc:Choice Requires="x14">
            <control shapeId="541642" r:id="rId7" name="Option Button 970">
              <controlPr defaultSize="0" autoFill="0" autoLine="0" autoPict="0">
                <anchor moveWithCells="1">
                  <from>
                    <xdr:col>4</xdr:col>
                    <xdr:colOff>542925</xdr:colOff>
                    <xdr:row>21</xdr:row>
                    <xdr:rowOff>9525</xdr:rowOff>
                  </from>
                  <to>
                    <xdr:col>6</xdr:col>
                    <xdr:colOff>171450</xdr:colOff>
                    <xdr:row>22</xdr:row>
                    <xdr:rowOff>28575</xdr:rowOff>
                  </to>
                </anchor>
              </controlPr>
            </control>
          </mc:Choice>
        </mc:AlternateContent>
        <mc:AlternateContent xmlns:mc="http://schemas.openxmlformats.org/markup-compatibility/2006">
          <mc:Choice Requires="x14">
            <control shapeId="541643" r:id="rId8" name="Option Button 971">
              <controlPr defaultSize="0" autoFill="0" autoLine="0" autoPict="0">
                <anchor moveWithCells="1">
                  <from>
                    <xdr:col>6</xdr:col>
                    <xdr:colOff>123825</xdr:colOff>
                    <xdr:row>21</xdr:row>
                    <xdr:rowOff>9525</xdr:rowOff>
                  </from>
                  <to>
                    <xdr:col>7</xdr:col>
                    <xdr:colOff>571500</xdr:colOff>
                    <xdr:row>22</xdr:row>
                    <xdr:rowOff>28575</xdr:rowOff>
                  </to>
                </anchor>
              </controlPr>
            </control>
          </mc:Choice>
        </mc:AlternateContent>
        <mc:AlternateContent xmlns:mc="http://schemas.openxmlformats.org/markup-compatibility/2006">
          <mc:Choice Requires="x14">
            <control shapeId="541644" r:id="rId9" name="Option Button 972">
              <controlPr defaultSize="0" autoFill="0" autoLine="0" autoPict="0">
                <anchor moveWithCells="1">
                  <from>
                    <xdr:col>7</xdr:col>
                    <xdr:colOff>171450</xdr:colOff>
                    <xdr:row>21</xdr:row>
                    <xdr:rowOff>9525</xdr:rowOff>
                  </from>
                  <to>
                    <xdr:col>9</xdr:col>
                    <xdr:colOff>9525</xdr:colOff>
                    <xdr:row>22</xdr:row>
                    <xdr:rowOff>28575</xdr:rowOff>
                  </to>
                </anchor>
              </controlPr>
            </control>
          </mc:Choice>
        </mc:AlternateContent>
        <mc:AlternateContent xmlns:mc="http://schemas.openxmlformats.org/markup-compatibility/2006">
          <mc:Choice Requires="x14">
            <control shapeId="541645" r:id="rId10" name="Option Button 973">
              <controlPr defaultSize="0" autoFill="0" autoLine="0" autoPict="0">
                <anchor moveWithCells="1">
                  <from>
                    <xdr:col>8</xdr:col>
                    <xdr:colOff>466725</xdr:colOff>
                    <xdr:row>21</xdr:row>
                    <xdr:rowOff>9525</xdr:rowOff>
                  </from>
                  <to>
                    <xdr:col>10</xdr:col>
                    <xdr:colOff>200025</xdr:colOff>
                    <xdr:row>22</xdr:row>
                    <xdr:rowOff>28575</xdr:rowOff>
                  </to>
                </anchor>
              </controlPr>
            </control>
          </mc:Choice>
        </mc:AlternateContent>
        <mc:AlternateContent xmlns:mc="http://schemas.openxmlformats.org/markup-compatibility/2006">
          <mc:Choice Requires="x14">
            <control shapeId="541646" r:id="rId11" name="Option Button 974">
              <controlPr defaultSize="0" autoFill="0" autoLine="0" autoPict="0">
                <anchor moveWithCells="1">
                  <from>
                    <xdr:col>2</xdr:col>
                    <xdr:colOff>180975</xdr:colOff>
                    <xdr:row>22</xdr:row>
                    <xdr:rowOff>19050</xdr:rowOff>
                  </from>
                  <to>
                    <xdr:col>4</xdr:col>
                    <xdr:colOff>19050</xdr:colOff>
                    <xdr:row>23</xdr:row>
                    <xdr:rowOff>19050</xdr:rowOff>
                  </to>
                </anchor>
              </controlPr>
            </control>
          </mc:Choice>
        </mc:AlternateContent>
        <mc:AlternateContent xmlns:mc="http://schemas.openxmlformats.org/markup-compatibility/2006">
          <mc:Choice Requires="x14">
            <control shapeId="541647" r:id="rId12" name="Option Button 975">
              <controlPr defaultSize="0" autoFill="0" autoLine="0" autoPict="0">
                <anchor moveWithCells="1">
                  <from>
                    <xdr:col>3</xdr:col>
                    <xdr:colOff>342900</xdr:colOff>
                    <xdr:row>22</xdr:row>
                    <xdr:rowOff>19050</xdr:rowOff>
                  </from>
                  <to>
                    <xdr:col>5</xdr:col>
                    <xdr:colOff>180975</xdr:colOff>
                    <xdr:row>23</xdr:row>
                    <xdr:rowOff>19050</xdr:rowOff>
                  </to>
                </anchor>
              </controlPr>
            </control>
          </mc:Choice>
        </mc:AlternateContent>
        <mc:AlternateContent xmlns:mc="http://schemas.openxmlformats.org/markup-compatibility/2006">
          <mc:Choice Requires="x14">
            <control shapeId="541648" r:id="rId13" name="Option Button 976">
              <controlPr defaultSize="0" autoFill="0" autoLine="0" autoPict="0">
                <anchor moveWithCells="1">
                  <from>
                    <xdr:col>4</xdr:col>
                    <xdr:colOff>542925</xdr:colOff>
                    <xdr:row>22</xdr:row>
                    <xdr:rowOff>19050</xdr:rowOff>
                  </from>
                  <to>
                    <xdr:col>6</xdr:col>
                    <xdr:colOff>171450</xdr:colOff>
                    <xdr:row>23</xdr:row>
                    <xdr:rowOff>19050</xdr:rowOff>
                  </to>
                </anchor>
              </controlPr>
            </control>
          </mc:Choice>
        </mc:AlternateContent>
        <mc:AlternateContent xmlns:mc="http://schemas.openxmlformats.org/markup-compatibility/2006">
          <mc:Choice Requires="x14">
            <control shapeId="541649" r:id="rId14" name="Option Button 977">
              <controlPr defaultSize="0" autoFill="0" autoLine="0" autoPict="0">
                <anchor moveWithCells="1">
                  <from>
                    <xdr:col>6</xdr:col>
                    <xdr:colOff>123825</xdr:colOff>
                    <xdr:row>22</xdr:row>
                    <xdr:rowOff>19050</xdr:rowOff>
                  </from>
                  <to>
                    <xdr:col>7</xdr:col>
                    <xdr:colOff>571500</xdr:colOff>
                    <xdr:row>23</xdr:row>
                    <xdr:rowOff>19050</xdr:rowOff>
                  </to>
                </anchor>
              </controlPr>
            </control>
          </mc:Choice>
        </mc:AlternateContent>
        <mc:AlternateContent xmlns:mc="http://schemas.openxmlformats.org/markup-compatibility/2006">
          <mc:Choice Requires="x14">
            <control shapeId="541650" r:id="rId15" name="Option Button 978">
              <controlPr defaultSize="0" autoFill="0" autoLine="0" autoPict="0">
                <anchor moveWithCells="1">
                  <from>
                    <xdr:col>7</xdr:col>
                    <xdr:colOff>171450</xdr:colOff>
                    <xdr:row>22</xdr:row>
                    <xdr:rowOff>19050</xdr:rowOff>
                  </from>
                  <to>
                    <xdr:col>9</xdr:col>
                    <xdr:colOff>9525</xdr:colOff>
                    <xdr:row>23</xdr:row>
                    <xdr:rowOff>19050</xdr:rowOff>
                  </to>
                </anchor>
              </controlPr>
            </control>
          </mc:Choice>
        </mc:AlternateContent>
        <mc:AlternateContent xmlns:mc="http://schemas.openxmlformats.org/markup-compatibility/2006">
          <mc:Choice Requires="x14">
            <control shapeId="541651" r:id="rId16" name="Option Button 979">
              <controlPr defaultSize="0" autoFill="0" autoLine="0" autoPict="0">
                <anchor moveWithCells="1">
                  <from>
                    <xdr:col>8</xdr:col>
                    <xdr:colOff>466725</xdr:colOff>
                    <xdr:row>22</xdr:row>
                    <xdr:rowOff>19050</xdr:rowOff>
                  </from>
                  <to>
                    <xdr:col>10</xdr:col>
                    <xdr:colOff>200025</xdr:colOff>
                    <xdr:row>23</xdr:row>
                    <xdr:rowOff>19050</xdr:rowOff>
                  </to>
                </anchor>
              </controlPr>
            </control>
          </mc:Choice>
        </mc:AlternateContent>
        <mc:AlternateContent xmlns:mc="http://schemas.openxmlformats.org/markup-compatibility/2006">
          <mc:Choice Requires="x14">
            <control shapeId="541652" r:id="rId17" name="Group Box 980">
              <controlPr defaultSize="0" autoFill="0" autoPict="0">
                <anchor moveWithCells="1">
                  <from>
                    <xdr:col>6</xdr:col>
                    <xdr:colOff>114300</xdr:colOff>
                    <xdr:row>17</xdr:row>
                    <xdr:rowOff>66675</xdr:rowOff>
                  </from>
                  <to>
                    <xdr:col>11</xdr:col>
                    <xdr:colOff>800100</xdr:colOff>
                    <xdr:row>20</xdr:row>
                    <xdr:rowOff>19050</xdr:rowOff>
                  </to>
                </anchor>
              </controlPr>
            </control>
          </mc:Choice>
        </mc:AlternateContent>
        <mc:AlternateContent xmlns:mc="http://schemas.openxmlformats.org/markup-compatibility/2006">
          <mc:Choice Requires="x14">
            <control shapeId="541653" r:id="rId18" name="Option Button 981">
              <controlPr defaultSize="0" autoFill="0" autoLine="0" autoPict="0">
                <anchor moveWithCells="1">
                  <from>
                    <xdr:col>6</xdr:col>
                    <xdr:colOff>419100</xdr:colOff>
                    <xdr:row>18</xdr:row>
                    <xdr:rowOff>57150</xdr:rowOff>
                  </from>
                  <to>
                    <xdr:col>9</xdr:col>
                    <xdr:colOff>266700</xdr:colOff>
                    <xdr:row>19</xdr:row>
                    <xdr:rowOff>85725</xdr:rowOff>
                  </to>
                </anchor>
              </controlPr>
            </control>
          </mc:Choice>
        </mc:AlternateContent>
        <mc:AlternateContent xmlns:mc="http://schemas.openxmlformats.org/markup-compatibility/2006">
          <mc:Choice Requires="x14">
            <control shapeId="541654" r:id="rId19" name="Option Button 982">
              <controlPr defaultSize="0" autoFill="0" autoLine="0" autoPict="0">
                <anchor moveWithCells="1">
                  <from>
                    <xdr:col>9</xdr:col>
                    <xdr:colOff>333375</xdr:colOff>
                    <xdr:row>18</xdr:row>
                    <xdr:rowOff>57150</xdr:rowOff>
                  </from>
                  <to>
                    <xdr:col>11</xdr:col>
                    <xdr:colOff>685800</xdr:colOff>
                    <xdr:row>19</xdr:row>
                    <xdr:rowOff>85725</xdr:rowOff>
                  </to>
                </anchor>
              </controlPr>
            </control>
          </mc:Choice>
        </mc:AlternateContent>
        <mc:AlternateContent xmlns:mc="http://schemas.openxmlformats.org/markup-compatibility/2006">
          <mc:Choice Requires="x14">
            <control shapeId="541655" r:id="rId20" name="Group Box 983">
              <controlPr defaultSize="0" autoFill="0" autoPict="0">
                <anchor moveWithCells="1">
                  <from>
                    <xdr:col>0</xdr:col>
                    <xdr:colOff>85725</xdr:colOff>
                    <xdr:row>20</xdr:row>
                    <xdr:rowOff>171450</xdr:rowOff>
                  </from>
                  <to>
                    <xdr:col>11</xdr:col>
                    <xdr:colOff>762000</xdr:colOff>
                    <xdr:row>23</xdr:row>
                    <xdr:rowOff>76200</xdr:rowOff>
                  </to>
                </anchor>
              </controlPr>
            </control>
          </mc:Choice>
        </mc:AlternateContent>
        <mc:AlternateContent xmlns:mc="http://schemas.openxmlformats.org/markup-compatibility/2006">
          <mc:Choice Requires="x14">
            <control shapeId="541656" r:id="rId21" name="Group Box 984">
              <controlPr defaultSize="0" autoFill="0" autoPict="0">
                <anchor moveWithCells="1">
                  <from>
                    <xdr:col>0</xdr:col>
                    <xdr:colOff>85725</xdr:colOff>
                    <xdr:row>24</xdr:row>
                    <xdr:rowOff>0</xdr:rowOff>
                  </from>
                  <to>
                    <xdr:col>11</xdr:col>
                    <xdr:colOff>771525</xdr:colOff>
                    <xdr:row>28</xdr:row>
                    <xdr:rowOff>38100</xdr:rowOff>
                  </to>
                </anchor>
              </controlPr>
            </control>
          </mc:Choice>
        </mc:AlternateContent>
        <mc:AlternateContent xmlns:mc="http://schemas.openxmlformats.org/markup-compatibility/2006">
          <mc:Choice Requires="x14">
            <control shapeId="541657" r:id="rId22" name="Option Button 985">
              <controlPr defaultSize="0" autoFill="0" autoLine="0" autoPict="0">
                <anchor moveWithCells="1">
                  <from>
                    <xdr:col>1</xdr:col>
                    <xdr:colOff>514350</xdr:colOff>
                    <xdr:row>26</xdr:row>
                    <xdr:rowOff>0</xdr:rowOff>
                  </from>
                  <to>
                    <xdr:col>3</xdr:col>
                    <xdr:colOff>257175</xdr:colOff>
                    <xdr:row>27</xdr:row>
                    <xdr:rowOff>19050</xdr:rowOff>
                  </to>
                </anchor>
              </controlPr>
            </control>
          </mc:Choice>
        </mc:AlternateContent>
        <mc:AlternateContent xmlns:mc="http://schemas.openxmlformats.org/markup-compatibility/2006">
          <mc:Choice Requires="x14">
            <control shapeId="541658" r:id="rId23" name="Option Button 986">
              <controlPr defaultSize="0" autoFill="0" autoLine="0" autoPict="0">
                <anchor moveWithCells="1">
                  <from>
                    <xdr:col>2</xdr:col>
                    <xdr:colOff>561975</xdr:colOff>
                    <xdr:row>26</xdr:row>
                    <xdr:rowOff>0</xdr:rowOff>
                  </from>
                  <to>
                    <xdr:col>4</xdr:col>
                    <xdr:colOff>600075</xdr:colOff>
                    <xdr:row>27</xdr:row>
                    <xdr:rowOff>28575</xdr:rowOff>
                  </to>
                </anchor>
              </controlPr>
            </control>
          </mc:Choice>
        </mc:AlternateContent>
        <mc:AlternateContent xmlns:mc="http://schemas.openxmlformats.org/markup-compatibility/2006">
          <mc:Choice Requires="x14">
            <control shapeId="541659" r:id="rId24" name="Option Button 987">
              <controlPr defaultSize="0" autoFill="0" autoLine="0" autoPict="0">
                <anchor moveWithCells="1">
                  <from>
                    <xdr:col>5</xdr:col>
                    <xdr:colOff>38100</xdr:colOff>
                    <xdr:row>26</xdr:row>
                    <xdr:rowOff>0</xdr:rowOff>
                  </from>
                  <to>
                    <xdr:col>6</xdr:col>
                    <xdr:colOff>104775</xdr:colOff>
                    <xdr:row>27</xdr:row>
                    <xdr:rowOff>28575</xdr:rowOff>
                  </to>
                </anchor>
              </controlPr>
            </control>
          </mc:Choice>
        </mc:AlternateContent>
        <mc:AlternateContent xmlns:mc="http://schemas.openxmlformats.org/markup-compatibility/2006">
          <mc:Choice Requires="x14">
            <control shapeId="541660" r:id="rId25" name="Option Button 988">
              <controlPr defaultSize="0" autoFill="0" autoLine="0" autoPict="0">
                <anchor moveWithCells="1">
                  <from>
                    <xdr:col>6</xdr:col>
                    <xdr:colOff>123825</xdr:colOff>
                    <xdr:row>26</xdr:row>
                    <xdr:rowOff>0</xdr:rowOff>
                  </from>
                  <to>
                    <xdr:col>7</xdr:col>
                    <xdr:colOff>571500</xdr:colOff>
                    <xdr:row>27</xdr:row>
                    <xdr:rowOff>19050</xdr:rowOff>
                  </to>
                </anchor>
              </controlPr>
            </control>
          </mc:Choice>
        </mc:AlternateContent>
        <mc:AlternateContent xmlns:mc="http://schemas.openxmlformats.org/markup-compatibility/2006">
          <mc:Choice Requires="x14">
            <control shapeId="541661" r:id="rId26" name="Option Button 989">
              <controlPr defaultSize="0" autoFill="0" autoLine="0" autoPict="0">
                <anchor moveWithCells="1">
                  <from>
                    <xdr:col>7</xdr:col>
                    <xdr:colOff>390525</xdr:colOff>
                    <xdr:row>26</xdr:row>
                    <xdr:rowOff>0</xdr:rowOff>
                  </from>
                  <to>
                    <xdr:col>9</xdr:col>
                    <xdr:colOff>228600</xdr:colOff>
                    <xdr:row>27</xdr:row>
                    <xdr:rowOff>19050</xdr:rowOff>
                  </to>
                </anchor>
              </controlPr>
            </control>
          </mc:Choice>
        </mc:AlternateContent>
        <mc:AlternateContent xmlns:mc="http://schemas.openxmlformats.org/markup-compatibility/2006">
          <mc:Choice Requires="x14">
            <control shapeId="541662" r:id="rId27" name="Option Button 990">
              <controlPr defaultSize="0" autoFill="0" autoLine="0" autoPict="0">
                <anchor moveWithCells="1">
                  <from>
                    <xdr:col>8</xdr:col>
                    <xdr:colOff>466725</xdr:colOff>
                    <xdr:row>26</xdr:row>
                    <xdr:rowOff>0</xdr:rowOff>
                  </from>
                  <to>
                    <xdr:col>10</xdr:col>
                    <xdr:colOff>200025</xdr:colOff>
                    <xdr:row>27</xdr:row>
                    <xdr:rowOff>19050</xdr:rowOff>
                  </to>
                </anchor>
              </controlPr>
            </control>
          </mc:Choice>
        </mc:AlternateContent>
        <mc:AlternateContent xmlns:mc="http://schemas.openxmlformats.org/markup-compatibility/2006">
          <mc:Choice Requires="x14">
            <control shapeId="541663" r:id="rId28" name="Option Button 991">
              <controlPr defaultSize="0" autoFill="0" autoLine="0" autoPict="0">
                <anchor moveWithCells="1">
                  <from>
                    <xdr:col>1</xdr:col>
                    <xdr:colOff>0</xdr:colOff>
                    <xdr:row>27</xdr:row>
                    <xdr:rowOff>9525</xdr:rowOff>
                  </from>
                  <to>
                    <xdr:col>2</xdr:col>
                    <xdr:colOff>352425</xdr:colOff>
                    <xdr:row>28</xdr:row>
                    <xdr:rowOff>9525</xdr:rowOff>
                  </to>
                </anchor>
              </controlPr>
            </control>
          </mc:Choice>
        </mc:AlternateContent>
        <mc:AlternateContent xmlns:mc="http://schemas.openxmlformats.org/markup-compatibility/2006">
          <mc:Choice Requires="x14">
            <control shapeId="541664" r:id="rId29" name="Option Button 992">
              <controlPr defaultSize="0" autoFill="0" autoLine="0" autoPict="0">
                <anchor moveWithCells="1">
                  <from>
                    <xdr:col>2</xdr:col>
                    <xdr:colOff>238125</xdr:colOff>
                    <xdr:row>27</xdr:row>
                    <xdr:rowOff>9525</xdr:rowOff>
                  </from>
                  <to>
                    <xdr:col>4</xdr:col>
                    <xdr:colOff>76200</xdr:colOff>
                    <xdr:row>28</xdr:row>
                    <xdr:rowOff>9525</xdr:rowOff>
                  </to>
                </anchor>
              </controlPr>
            </control>
          </mc:Choice>
        </mc:AlternateContent>
        <mc:AlternateContent xmlns:mc="http://schemas.openxmlformats.org/markup-compatibility/2006">
          <mc:Choice Requires="x14">
            <control shapeId="541665" r:id="rId30" name="Option Button 993">
              <controlPr defaultSize="0" autoFill="0" autoLine="0" autoPict="0">
                <anchor moveWithCells="1">
                  <from>
                    <xdr:col>3</xdr:col>
                    <xdr:colOff>438150</xdr:colOff>
                    <xdr:row>27</xdr:row>
                    <xdr:rowOff>9525</xdr:rowOff>
                  </from>
                  <to>
                    <xdr:col>5</xdr:col>
                    <xdr:colOff>276225</xdr:colOff>
                    <xdr:row>28</xdr:row>
                    <xdr:rowOff>9525</xdr:rowOff>
                  </to>
                </anchor>
              </controlPr>
            </control>
          </mc:Choice>
        </mc:AlternateContent>
        <mc:AlternateContent xmlns:mc="http://schemas.openxmlformats.org/markup-compatibility/2006">
          <mc:Choice Requires="x14">
            <control shapeId="541666" r:id="rId31" name="Option Button 994">
              <controlPr defaultSize="0" autoFill="0" autoLine="0" autoPict="0">
                <anchor moveWithCells="1">
                  <from>
                    <xdr:col>5</xdr:col>
                    <xdr:colOff>257175</xdr:colOff>
                    <xdr:row>27</xdr:row>
                    <xdr:rowOff>9525</xdr:rowOff>
                  </from>
                  <to>
                    <xdr:col>6</xdr:col>
                    <xdr:colOff>495300</xdr:colOff>
                    <xdr:row>28</xdr:row>
                    <xdr:rowOff>9525</xdr:rowOff>
                  </to>
                </anchor>
              </controlPr>
            </control>
          </mc:Choice>
        </mc:AlternateContent>
        <mc:AlternateContent xmlns:mc="http://schemas.openxmlformats.org/markup-compatibility/2006">
          <mc:Choice Requires="x14">
            <control shapeId="541667" r:id="rId32" name="Option Button 995">
              <controlPr defaultSize="0" autoFill="0" autoLine="0" autoPict="0">
                <anchor moveWithCells="1">
                  <from>
                    <xdr:col>8</xdr:col>
                    <xdr:colOff>466725</xdr:colOff>
                    <xdr:row>27</xdr:row>
                    <xdr:rowOff>9525</xdr:rowOff>
                  </from>
                  <to>
                    <xdr:col>10</xdr:col>
                    <xdr:colOff>200025</xdr:colOff>
                    <xdr:row>28</xdr:row>
                    <xdr:rowOff>9525</xdr:rowOff>
                  </to>
                </anchor>
              </controlPr>
            </control>
          </mc:Choice>
        </mc:AlternateContent>
        <mc:AlternateContent xmlns:mc="http://schemas.openxmlformats.org/markup-compatibility/2006">
          <mc:Choice Requires="x14">
            <control shapeId="541668" r:id="rId33" name="Option Button 996">
              <controlPr defaultSize="0" autoFill="0" autoLine="0" autoPict="0">
                <anchor moveWithCells="1">
                  <from>
                    <xdr:col>6</xdr:col>
                    <xdr:colOff>466725</xdr:colOff>
                    <xdr:row>27</xdr:row>
                    <xdr:rowOff>0</xdr:rowOff>
                  </from>
                  <to>
                    <xdr:col>8</xdr:col>
                    <xdr:colOff>533400</xdr:colOff>
                    <xdr:row>28</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IR118"/>
  <sheetViews>
    <sheetView zoomScale="85" zoomScaleNormal="85" zoomScaleSheetLayoutView="80" workbookViewId="0">
      <selection activeCell="J11" sqref="J11"/>
    </sheetView>
  </sheetViews>
  <sheetFormatPr defaultRowHeight="12.75" x14ac:dyDescent="0.2"/>
  <cols>
    <col min="1" max="1" width="14.28515625" customWidth="1"/>
    <col min="2" max="2" width="9.28515625" customWidth="1"/>
    <col min="3" max="3" width="5.42578125" customWidth="1"/>
    <col min="4" max="4" width="12.42578125" customWidth="1"/>
    <col min="5" max="6" width="14" customWidth="1"/>
    <col min="7" max="7" width="7" customWidth="1"/>
    <col min="8" max="8" width="16.5703125" customWidth="1"/>
    <col min="9" max="9" width="12.28515625" customWidth="1"/>
    <col min="10" max="10" width="9.140625" customWidth="1"/>
    <col min="11" max="11" width="5.42578125" customWidth="1"/>
    <col min="12" max="12" width="10.28515625" customWidth="1"/>
    <col min="13" max="13" width="14.5703125" customWidth="1"/>
    <col min="14" max="14" width="14.28515625" customWidth="1"/>
    <col min="15" max="15" width="11.7109375" customWidth="1"/>
    <col min="16" max="16" width="13.42578125" customWidth="1"/>
    <col min="17" max="17" width="10.5703125" customWidth="1"/>
    <col min="18" max="18" width="17.5703125" customWidth="1"/>
    <col min="19" max="19" width="11.5703125" customWidth="1"/>
    <col min="20" max="20" width="11.7109375" customWidth="1"/>
    <col min="21" max="23" width="0" hidden="1" customWidth="1"/>
    <col min="24" max="24" width="29.42578125" hidden="1" customWidth="1"/>
    <col min="25" max="25" width="11" hidden="1" customWidth="1"/>
  </cols>
  <sheetData>
    <row r="1" spans="1:252" ht="13.5" thickBot="1" x14ac:dyDescent="0.25"/>
    <row r="2" spans="1:252" s="24" customFormat="1" ht="19.5" customHeight="1" thickBot="1" x14ac:dyDescent="0.35">
      <c r="A2" s="590" t="s">
        <v>546</v>
      </c>
      <c r="B2" s="591"/>
      <c r="C2" s="591"/>
      <c r="D2" s="591"/>
      <c r="E2" s="591"/>
      <c r="F2" s="591"/>
      <c r="G2" s="591"/>
      <c r="H2" s="591"/>
      <c r="I2" s="591"/>
      <c r="J2" s="591"/>
      <c r="K2" s="591"/>
      <c r="L2" s="591"/>
      <c r="M2" s="591"/>
      <c r="N2" s="591"/>
      <c r="O2" s="591"/>
      <c r="P2" s="591"/>
      <c r="Q2" s="591"/>
      <c r="R2" s="591"/>
      <c r="S2" s="591"/>
      <c r="T2" s="592"/>
      <c r="U2" s="25"/>
      <c r="V2" s="25"/>
      <c r="W2" s="25"/>
    </row>
    <row r="3" spans="1:252" ht="12.75" customHeight="1" x14ac:dyDescent="0.2"/>
    <row r="4" spans="1:252" s="72" customFormat="1" ht="11.25" x14ac:dyDescent="0.2">
      <c r="A4" s="14" t="s">
        <v>130</v>
      </c>
      <c r="D4" s="14" t="s">
        <v>76</v>
      </c>
      <c r="E4" s="1"/>
      <c r="F4" s="1"/>
      <c r="G4" s="1"/>
      <c r="H4" s="73"/>
      <c r="J4" s="1"/>
      <c r="K4" s="1"/>
      <c r="L4" s="1"/>
      <c r="M4" s="1"/>
      <c r="N4" s="1"/>
      <c r="O4" s="1"/>
      <c r="P4" s="1"/>
      <c r="Q4" s="1"/>
      <c r="R4" s="1"/>
      <c r="S4" s="162">
        <v>45211</v>
      </c>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row>
    <row r="5" spans="1:252" s="72" customFormat="1" ht="11.25" x14ac:dyDescent="0.2">
      <c r="B5" s="75">
        <v>2</v>
      </c>
      <c r="D5" s="14" t="s">
        <v>75</v>
      </c>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row>
    <row r="6" spans="1:252" ht="16.5" customHeight="1" x14ac:dyDescent="0.2">
      <c r="A6" s="472" t="s">
        <v>416</v>
      </c>
      <c r="B6" s="75"/>
      <c r="C6" s="72"/>
      <c r="D6" s="74"/>
      <c r="E6" s="74"/>
      <c r="F6" s="74"/>
      <c r="G6" s="72"/>
      <c r="H6" s="471" t="s">
        <v>417</v>
      </c>
    </row>
    <row r="7" spans="1:252" ht="20.25" customHeight="1" thickBot="1" x14ac:dyDescent="0.25">
      <c r="A7" s="72"/>
      <c r="B7" s="75"/>
      <c r="C7" s="72"/>
      <c r="D7" s="74"/>
      <c r="E7" s="74"/>
      <c r="F7" s="74"/>
      <c r="G7" s="72"/>
      <c r="H7" s="471" t="s">
        <v>418</v>
      </c>
    </row>
    <row r="8" spans="1:252" s="182" customFormat="1" ht="42" customHeight="1" x14ac:dyDescent="0.2">
      <c r="A8" s="572" t="str">
        <f>IF(B5=1,"Base Efficiency", "Existing Equipment                     (if operational)")</f>
        <v>Existing Equipment                     (if operational)</v>
      </c>
      <c r="B8" s="594"/>
      <c r="C8" s="595"/>
      <c r="D8" s="572" t="s">
        <v>13</v>
      </c>
      <c r="E8" s="573"/>
      <c r="F8" s="573"/>
      <c r="G8" s="573"/>
      <c r="H8" s="573"/>
      <c r="I8" s="573"/>
      <c r="J8" s="573"/>
      <c r="K8" s="573"/>
      <c r="L8" s="573"/>
      <c r="M8" s="573"/>
      <c r="N8" s="574"/>
      <c r="O8" s="575" t="s">
        <v>14</v>
      </c>
      <c r="P8" s="576"/>
      <c r="Q8" s="576"/>
      <c r="R8" s="576"/>
      <c r="S8" s="576"/>
      <c r="T8" s="577"/>
    </row>
    <row r="9" spans="1:252" s="165" customFormat="1" ht="20.100000000000001" customHeight="1" x14ac:dyDescent="0.2">
      <c r="A9" s="217" t="s">
        <v>15</v>
      </c>
      <c r="B9" s="218" t="s">
        <v>16</v>
      </c>
      <c r="C9" s="219" t="s">
        <v>17</v>
      </c>
      <c r="D9" s="220" t="s">
        <v>18</v>
      </c>
      <c r="E9" s="221" t="s">
        <v>19</v>
      </c>
      <c r="F9" s="221" t="s">
        <v>20</v>
      </c>
      <c r="G9" s="221" t="s">
        <v>21</v>
      </c>
      <c r="H9" s="221" t="s">
        <v>22</v>
      </c>
      <c r="I9" s="221" t="s">
        <v>23</v>
      </c>
      <c r="J9" s="221" t="s">
        <v>24</v>
      </c>
      <c r="K9" s="221" t="s">
        <v>25</v>
      </c>
      <c r="L9" s="221" t="s">
        <v>26</v>
      </c>
      <c r="M9" s="221" t="s">
        <v>27</v>
      </c>
      <c r="N9" s="222" t="s">
        <v>205</v>
      </c>
      <c r="O9" s="385" t="s">
        <v>28</v>
      </c>
      <c r="P9" s="221" t="s">
        <v>29</v>
      </c>
      <c r="Q9" s="221" t="s">
        <v>30</v>
      </c>
      <c r="R9" s="221" t="s">
        <v>31</v>
      </c>
      <c r="S9" s="221" t="s">
        <v>32</v>
      </c>
      <c r="T9" s="222" t="s">
        <v>33</v>
      </c>
    </row>
    <row r="10" spans="1:252" s="175" customFormat="1" ht="72.95" customHeight="1" thickBot="1" x14ac:dyDescent="0.25">
      <c r="A10" s="380" t="s">
        <v>191</v>
      </c>
      <c r="B10" s="336" t="str">
        <f>IF(B5=1, "Base Efficiency","Existing/Base SEER, IEER or EER")</f>
        <v>Existing/Base SEER, IEER or EER</v>
      </c>
      <c r="C10" s="381" t="s">
        <v>34</v>
      </c>
      <c r="D10" s="394" t="s">
        <v>192</v>
      </c>
      <c r="E10" s="395" t="s">
        <v>193</v>
      </c>
      <c r="F10" s="395" t="s">
        <v>194</v>
      </c>
      <c r="G10" s="395" t="s">
        <v>191</v>
      </c>
      <c r="H10" s="395" t="s">
        <v>195</v>
      </c>
      <c r="I10" s="395" t="s">
        <v>196</v>
      </c>
      <c r="J10" s="395" t="s">
        <v>250</v>
      </c>
      <c r="K10" s="395" t="s">
        <v>34</v>
      </c>
      <c r="L10" s="395" t="s">
        <v>197</v>
      </c>
      <c r="M10" s="395" t="s">
        <v>198</v>
      </c>
      <c r="N10" s="396" t="s">
        <v>243</v>
      </c>
      <c r="O10" s="394" t="s">
        <v>199</v>
      </c>
      <c r="P10" s="395" t="s">
        <v>200</v>
      </c>
      <c r="Q10" s="395" t="s">
        <v>201</v>
      </c>
      <c r="R10" s="395" t="s">
        <v>202</v>
      </c>
      <c r="S10" s="395" t="s">
        <v>203</v>
      </c>
      <c r="T10" s="396" t="s">
        <v>204</v>
      </c>
    </row>
    <row r="11" spans="1:252" s="11" customFormat="1" ht="24.95" customHeight="1" x14ac:dyDescent="0.2">
      <c r="A11" s="382"/>
      <c r="B11" s="383"/>
      <c r="C11" s="384"/>
      <c r="D11" s="388"/>
      <c r="E11" s="389"/>
      <c r="F11" s="389"/>
      <c r="G11" s="389"/>
      <c r="H11" s="390"/>
      <c r="I11" s="391" t="str">
        <f t="shared" ref="I11:I17" si="0">IF(ISERROR(VLOOKUP($D11,$A$22:$L$40,8,FALSE)),"",VLOOKUP($D11,$A$22:$L$40,8,FALSE))</f>
        <v/>
      </c>
      <c r="J11" s="392"/>
      <c r="K11" s="389"/>
      <c r="L11" s="389"/>
      <c r="M11" s="393"/>
      <c r="N11" s="505"/>
      <c r="O11" s="499" t="str">
        <f t="shared" ref="O11:O17" si="1">IF(ISERROR(VLOOKUP($D11,$A$22:$L$40,10,FALSE)),"",VLOOKUP($D11,$A$22:$L$40,10,FALSE))</f>
        <v/>
      </c>
      <c r="P11" s="500" t="str">
        <f t="shared" ref="P11" si="2">IF(J11&lt;I11,0,IF(ISERROR(G11*K11*O11),"",(G11*K11*O11)))</f>
        <v/>
      </c>
      <c r="Q11" s="501" t="str">
        <f>IF(D11="","",IF(J11-I11&lt;0,0,(J11-I11)))</f>
        <v/>
      </c>
      <c r="R11" s="500" t="str">
        <f t="shared" ref="R11:R17" si="3">IF(ISERROR(VLOOKUP(D11,$A$22:$L$40,11,FALSE)),"",VLOOKUP(D11,$A$22:$L$40,11,FALSE))</f>
        <v/>
      </c>
      <c r="S11" s="500" t="str">
        <f t="shared" ref="S11" si="4">IF(ISERROR((Q11*R11)*(G11*K11)*10),"",((Q11*R11)*(G11*K11)*10))</f>
        <v/>
      </c>
      <c r="T11" s="502" t="str">
        <f>IF(ISERROR(P11+S11),"",IF(P11+S11&gt;M11*0.5,M11*0.5,IF((P11+S11)&gt;M11,M11,(P11+S11))))</f>
        <v/>
      </c>
    </row>
    <row r="12" spans="1:252" s="11" customFormat="1" ht="24.95" customHeight="1" x14ac:dyDescent="0.2">
      <c r="A12" s="332"/>
      <c r="B12" s="191"/>
      <c r="C12" s="203"/>
      <c r="D12" s="388"/>
      <c r="E12" s="192"/>
      <c r="F12" s="192"/>
      <c r="G12" s="192"/>
      <c r="H12" s="193"/>
      <c r="I12" s="391" t="str">
        <f t="shared" si="0"/>
        <v/>
      </c>
      <c r="J12" s="194"/>
      <c r="K12" s="192"/>
      <c r="L12" s="192"/>
      <c r="M12" s="195"/>
      <c r="N12" s="506"/>
      <c r="O12" s="386" t="str">
        <f t="shared" si="1"/>
        <v/>
      </c>
      <c r="P12" s="227" t="str">
        <f t="shared" ref="P12:P17" si="5">IF(J12&lt;I12,0,IF(ISERROR(G12*K12*O12),"",(G12*K12*O12)))</f>
        <v/>
      </c>
      <c r="Q12" s="228" t="str">
        <f t="shared" ref="Q12:Q17" si="6">IF(D12="","",IF(J12-I12&lt;0,0,(J12-I12)))</f>
        <v/>
      </c>
      <c r="R12" s="227" t="str">
        <f t="shared" si="3"/>
        <v/>
      </c>
      <c r="S12" s="227" t="str">
        <f t="shared" ref="S12:S17" si="7">IF(ISERROR((Q12*R12)*(G12*K12)*10),"",((Q12*R12)*(G12*K12)*10))</f>
        <v/>
      </c>
      <c r="T12" s="503" t="str">
        <f t="shared" ref="T12:T17" si="8">IF(ISERROR(P12+S12),"",IF(P12+S12&gt;M12*0.5,M12*0.5,IF((P12+S12)&gt;M12,M12,(P12+S12))))</f>
        <v/>
      </c>
    </row>
    <row r="13" spans="1:252" s="11" customFormat="1" ht="24.95" customHeight="1" x14ac:dyDescent="0.2">
      <c r="A13" s="332"/>
      <c r="B13" s="191"/>
      <c r="C13" s="203"/>
      <c r="D13" s="206"/>
      <c r="E13" s="192"/>
      <c r="F13" s="192"/>
      <c r="G13" s="192"/>
      <c r="H13" s="193"/>
      <c r="I13" s="391" t="str">
        <f t="shared" si="0"/>
        <v/>
      </c>
      <c r="J13" s="194"/>
      <c r="K13" s="192"/>
      <c r="L13" s="192"/>
      <c r="M13" s="195"/>
      <c r="N13" s="506"/>
      <c r="O13" s="386" t="str">
        <f t="shared" si="1"/>
        <v/>
      </c>
      <c r="P13" s="227" t="str">
        <f t="shared" si="5"/>
        <v/>
      </c>
      <c r="Q13" s="228" t="str">
        <f t="shared" si="6"/>
        <v/>
      </c>
      <c r="R13" s="227" t="str">
        <f t="shared" si="3"/>
        <v/>
      </c>
      <c r="S13" s="227" t="str">
        <f t="shared" si="7"/>
        <v/>
      </c>
      <c r="T13" s="503" t="str">
        <f t="shared" si="8"/>
        <v/>
      </c>
    </row>
    <row r="14" spans="1:252" s="11" customFormat="1" ht="24.95" customHeight="1" x14ac:dyDescent="0.2">
      <c r="A14" s="332"/>
      <c r="B14" s="191"/>
      <c r="C14" s="203"/>
      <c r="D14" s="388"/>
      <c r="E14" s="192"/>
      <c r="F14" s="192"/>
      <c r="G14" s="192"/>
      <c r="H14" s="193"/>
      <c r="I14" s="391" t="str">
        <f t="shared" si="0"/>
        <v/>
      </c>
      <c r="J14" s="194"/>
      <c r="K14" s="192"/>
      <c r="L14" s="192"/>
      <c r="M14" s="195"/>
      <c r="N14" s="506"/>
      <c r="O14" s="386" t="str">
        <f t="shared" si="1"/>
        <v/>
      </c>
      <c r="P14" s="227" t="str">
        <f t="shared" si="5"/>
        <v/>
      </c>
      <c r="Q14" s="228" t="str">
        <f t="shared" si="6"/>
        <v/>
      </c>
      <c r="R14" s="227" t="str">
        <f t="shared" si="3"/>
        <v/>
      </c>
      <c r="S14" s="227" t="str">
        <f t="shared" si="7"/>
        <v/>
      </c>
      <c r="T14" s="503" t="str">
        <f t="shared" si="8"/>
        <v/>
      </c>
    </row>
    <row r="15" spans="1:252" s="11" customFormat="1" ht="24.95" customHeight="1" thickBot="1" x14ac:dyDescent="0.25">
      <c r="A15" s="332"/>
      <c r="B15" s="191"/>
      <c r="C15" s="203"/>
      <c r="D15" s="388"/>
      <c r="E15" s="192"/>
      <c r="F15" s="192"/>
      <c r="G15" s="192"/>
      <c r="H15" s="193"/>
      <c r="I15" s="391" t="str">
        <f t="shared" si="0"/>
        <v/>
      </c>
      <c r="J15" s="194"/>
      <c r="K15" s="192"/>
      <c r="L15" s="192"/>
      <c r="M15" s="195"/>
      <c r="N15" s="506"/>
      <c r="O15" s="386" t="str">
        <f t="shared" si="1"/>
        <v/>
      </c>
      <c r="P15" s="227" t="str">
        <f t="shared" si="5"/>
        <v/>
      </c>
      <c r="Q15" s="228" t="str">
        <f t="shared" si="6"/>
        <v/>
      </c>
      <c r="R15" s="227" t="str">
        <f t="shared" si="3"/>
        <v/>
      </c>
      <c r="S15" s="227" t="str">
        <f t="shared" si="7"/>
        <v/>
      </c>
      <c r="T15" s="503" t="str">
        <f t="shared" si="8"/>
        <v/>
      </c>
    </row>
    <row r="16" spans="1:252" s="11" customFormat="1" ht="24.95" customHeight="1" thickBot="1" x14ac:dyDescent="0.25">
      <c r="A16" s="332"/>
      <c r="B16" s="191"/>
      <c r="C16" s="203"/>
      <c r="D16" s="388"/>
      <c r="E16" s="192"/>
      <c r="F16" s="192"/>
      <c r="G16" s="192"/>
      <c r="H16" s="193"/>
      <c r="I16" s="391" t="str">
        <f t="shared" si="0"/>
        <v/>
      </c>
      <c r="J16" s="194"/>
      <c r="K16" s="192"/>
      <c r="L16" s="192"/>
      <c r="M16" s="195"/>
      <c r="N16" s="506"/>
      <c r="O16" s="386" t="str">
        <f t="shared" si="1"/>
        <v/>
      </c>
      <c r="P16" s="227" t="str">
        <f t="shared" si="5"/>
        <v/>
      </c>
      <c r="Q16" s="228" t="str">
        <f t="shared" si="6"/>
        <v/>
      </c>
      <c r="R16" s="227" t="str">
        <f t="shared" si="3"/>
        <v/>
      </c>
      <c r="S16" s="227" t="str">
        <f t="shared" si="7"/>
        <v/>
      </c>
      <c r="T16" s="503" t="str">
        <f t="shared" si="8"/>
        <v/>
      </c>
      <c r="X16" s="578" t="s">
        <v>207</v>
      </c>
      <c r="Y16" s="600"/>
    </row>
    <row r="17" spans="1:33" s="11" customFormat="1" ht="24.95" customHeight="1" thickBot="1" x14ac:dyDescent="0.25">
      <c r="A17" s="333"/>
      <c r="B17" s="204"/>
      <c r="C17" s="205"/>
      <c r="D17" s="207"/>
      <c r="E17" s="208"/>
      <c r="F17" s="208"/>
      <c r="G17" s="208"/>
      <c r="H17" s="209"/>
      <c r="I17" s="226" t="str">
        <f t="shared" si="0"/>
        <v/>
      </c>
      <c r="J17" s="210"/>
      <c r="K17" s="208"/>
      <c r="L17" s="208"/>
      <c r="M17" s="211"/>
      <c r="N17" s="507"/>
      <c r="O17" s="387" t="str">
        <f t="shared" si="1"/>
        <v/>
      </c>
      <c r="P17" s="229" t="str">
        <f t="shared" si="5"/>
        <v/>
      </c>
      <c r="Q17" s="230" t="str">
        <f t="shared" si="6"/>
        <v/>
      </c>
      <c r="R17" s="229" t="str">
        <f t="shared" si="3"/>
        <v/>
      </c>
      <c r="S17" s="229" t="str">
        <f t="shared" si="7"/>
        <v/>
      </c>
      <c r="T17" s="504" t="str">
        <f t="shared" si="8"/>
        <v/>
      </c>
      <c r="X17" s="334">
        <v>14.5</v>
      </c>
      <c r="Y17" s="488" t="s">
        <v>131</v>
      </c>
    </row>
    <row r="18" spans="1:33" s="11" customFormat="1" ht="28.5" customHeight="1" thickBot="1" x14ac:dyDescent="0.25">
      <c r="A18" s="405"/>
      <c r="H18" s="12"/>
      <c r="I18" s="13"/>
      <c r="Q18" s="589" t="s">
        <v>475</v>
      </c>
      <c r="R18" s="589"/>
      <c r="S18" s="12" t="s">
        <v>37</v>
      </c>
      <c r="T18" s="407">
        <f>SUM(T11:T17)</f>
        <v>0</v>
      </c>
      <c r="X18" s="368">
        <v>15.5</v>
      </c>
      <c r="Y18" s="489" t="s">
        <v>131</v>
      </c>
    </row>
    <row r="19" spans="1:33" s="9" customFormat="1" ht="8.25" customHeight="1" thickBot="1" x14ac:dyDescent="0.25">
      <c r="Q19" s="589"/>
      <c r="R19" s="589"/>
      <c r="X19" s="368">
        <v>13.9</v>
      </c>
      <c r="Y19" s="489" t="s">
        <v>251</v>
      </c>
    </row>
    <row r="20" spans="1:33" s="9" customFormat="1" ht="12.75" customHeight="1" thickBot="1" x14ac:dyDescent="0.25">
      <c r="A20" s="374" t="s">
        <v>38</v>
      </c>
      <c r="B20" s="375"/>
      <c r="C20" s="375"/>
      <c r="D20" s="375"/>
      <c r="E20" s="375"/>
      <c r="F20" s="375"/>
      <c r="G20" s="375"/>
      <c r="H20" s="375"/>
      <c r="I20" s="375"/>
      <c r="J20" s="375"/>
      <c r="K20" s="376"/>
      <c r="L20" s="376"/>
      <c r="M20" s="375"/>
      <c r="N20" s="375"/>
      <c r="O20"/>
      <c r="P20" s="496" t="s">
        <v>39</v>
      </c>
      <c r="Q20" s="497"/>
      <c r="R20" s="498"/>
      <c r="X20" s="327">
        <v>13.3</v>
      </c>
      <c r="Y20" s="489" t="s">
        <v>251</v>
      </c>
    </row>
    <row r="21" spans="1:33" s="10" customFormat="1" ht="34.5" thickBot="1" x14ac:dyDescent="0.25">
      <c r="A21" s="398" t="s">
        <v>206</v>
      </c>
      <c r="B21" s="583" t="s">
        <v>41</v>
      </c>
      <c r="C21" s="583"/>
      <c r="D21" s="583"/>
      <c r="E21" s="583"/>
      <c r="F21" s="583"/>
      <c r="G21" s="584"/>
      <c r="H21" s="578" t="s">
        <v>207</v>
      </c>
      <c r="I21" s="593"/>
      <c r="J21" s="331" t="s">
        <v>208</v>
      </c>
      <c r="K21" s="585" t="s">
        <v>209</v>
      </c>
      <c r="L21" s="586"/>
      <c r="M21" s="578" t="s">
        <v>408</v>
      </c>
      <c r="N21" s="579"/>
      <c r="P21" s="581" t="s">
        <v>252</v>
      </c>
      <c r="Q21" s="582"/>
      <c r="R21" s="493" t="s">
        <v>276</v>
      </c>
      <c r="S21"/>
      <c r="T21"/>
      <c r="U21"/>
      <c r="V21"/>
      <c r="W21"/>
      <c r="X21"/>
      <c r="Y21"/>
      <c r="Z21"/>
      <c r="AA21"/>
      <c r="AB21"/>
      <c r="AC21"/>
      <c r="AD21"/>
      <c r="AE21"/>
      <c r="AF21"/>
      <c r="AG21"/>
    </row>
    <row r="22" spans="1:33" s="9" customFormat="1" ht="15" customHeight="1" x14ac:dyDescent="0.2">
      <c r="A22" s="399" t="s">
        <v>456</v>
      </c>
      <c r="B22" s="580" t="s">
        <v>395</v>
      </c>
      <c r="C22" s="580"/>
      <c r="D22" s="580"/>
      <c r="E22" s="370"/>
      <c r="F22" s="370"/>
      <c r="G22" s="329">
        <v>12</v>
      </c>
      <c r="H22" s="334">
        <v>14.5</v>
      </c>
      <c r="I22" s="330" t="s">
        <v>131</v>
      </c>
      <c r="J22" s="371">
        <v>50</v>
      </c>
      <c r="K22" s="587">
        <v>5</v>
      </c>
      <c r="L22" s="588"/>
      <c r="M22" s="596" t="s">
        <v>244</v>
      </c>
      <c r="N22" s="597"/>
      <c r="P22" s="556" t="s">
        <v>231</v>
      </c>
      <c r="Q22" s="557"/>
      <c r="R22" s="378">
        <v>986</v>
      </c>
      <c r="S22"/>
      <c r="T22"/>
      <c r="U22"/>
      <c r="V22"/>
      <c r="W22"/>
      <c r="X22"/>
      <c r="Y22"/>
      <c r="Z22"/>
      <c r="AA22"/>
      <c r="AB22"/>
      <c r="AC22"/>
      <c r="AD22"/>
      <c r="AE22"/>
      <c r="AF22"/>
      <c r="AG22"/>
    </row>
    <row r="23" spans="1:33" s="9" customFormat="1" ht="15" customHeight="1" x14ac:dyDescent="0.2">
      <c r="A23" s="400" t="s">
        <v>457</v>
      </c>
      <c r="B23" s="323" t="s">
        <v>396</v>
      </c>
      <c r="C23" s="323"/>
      <c r="D23" s="323"/>
      <c r="E23" s="323"/>
      <c r="F23" s="323"/>
      <c r="G23" s="322">
        <v>10.3</v>
      </c>
      <c r="H23" s="368">
        <v>15.5</v>
      </c>
      <c r="I23" s="328" t="s">
        <v>131</v>
      </c>
      <c r="J23" s="372">
        <v>50</v>
      </c>
      <c r="K23" s="542">
        <v>5</v>
      </c>
      <c r="L23" s="568"/>
      <c r="M23" s="570" t="s">
        <v>389</v>
      </c>
      <c r="N23" s="571"/>
      <c r="P23" s="556" t="s">
        <v>143</v>
      </c>
      <c r="Q23" s="557"/>
      <c r="R23" s="378">
        <v>785</v>
      </c>
      <c r="S23"/>
      <c r="T23"/>
      <c r="U23"/>
      <c r="V23"/>
      <c r="W23"/>
      <c r="X23"/>
      <c r="Y23"/>
      <c r="Z23"/>
      <c r="AA23"/>
      <c r="AB23"/>
      <c r="AC23"/>
      <c r="AD23"/>
      <c r="AE23"/>
      <c r="AF23"/>
      <c r="AG23"/>
    </row>
    <row r="24" spans="1:33" s="9" customFormat="1" ht="15" customHeight="1" x14ac:dyDescent="0.2">
      <c r="A24" s="400" t="s">
        <v>458</v>
      </c>
      <c r="B24" s="324" t="s">
        <v>397</v>
      </c>
      <c r="C24" s="324"/>
      <c r="D24" s="324"/>
      <c r="E24" s="324"/>
      <c r="F24" s="324"/>
      <c r="G24" s="325">
        <v>9.6999999999999993</v>
      </c>
      <c r="H24" s="368">
        <v>13.9</v>
      </c>
      <c r="I24" s="328" t="s">
        <v>251</v>
      </c>
      <c r="J24" s="372">
        <v>50</v>
      </c>
      <c r="K24" s="542">
        <v>5</v>
      </c>
      <c r="L24" s="568"/>
      <c r="M24" s="570" t="s">
        <v>390</v>
      </c>
      <c r="N24" s="571"/>
      <c r="P24" s="556" t="s">
        <v>232</v>
      </c>
      <c r="Q24" s="557"/>
      <c r="R24" s="378">
        <v>408</v>
      </c>
      <c r="S24"/>
      <c r="T24"/>
      <c r="U24"/>
      <c r="V24"/>
      <c r="W24"/>
      <c r="X24"/>
      <c r="Y24"/>
      <c r="Z24"/>
      <c r="AA24"/>
      <c r="AB24"/>
      <c r="AC24"/>
      <c r="AD24"/>
      <c r="AE24"/>
      <c r="AF24"/>
      <c r="AG24"/>
    </row>
    <row r="25" spans="1:33" s="9" customFormat="1" ht="15" customHeight="1" x14ac:dyDescent="0.2">
      <c r="A25" s="400" t="s">
        <v>459</v>
      </c>
      <c r="B25" s="324" t="s">
        <v>398</v>
      </c>
      <c r="C25" s="326"/>
      <c r="D25" s="324"/>
      <c r="E25" s="324"/>
      <c r="F25" s="324"/>
      <c r="G25" s="325">
        <v>9.5</v>
      </c>
      <c r="H25" s="327">
        <v>13.3</v>
      </c>
      <c r="I25" s="328" t="s">
        <v>251</v>
      </c>
      <c r="J25" s="372">
        <v>50</v>
      </c>
      <c r="K25" s="564">
        <v>5</v>
      </c>
      <c r="L25" s="565"/>
      <c r="M25" s="570" t="s">
        <v>391</v>
      </c>
      <c r="N25" s="571"/>
      <c r="P25" s="556" t="s">
        <v>233</v>
      </c>
      <c r="Q25" s="557"/>
      <c r="R25" s="378">
        <v>563</v>
      </c>
      <c r="S25"/>
      <c r="T25"/>
      <c r="U25"/>
      <c r="V25"/>
      <c r="W25"/>
      <c r="X25"/>
      <c r="Y25"/>
      <c r="Z25"/>
      <c r="AA25"/>
      <c r="AB25"/>
      <c r="AC25"/>
      <c r="AD25"/>
      <c r="AE25"/>
      <c r="AF25"/>
      <c r="AG25"/>
    </row>
    <row r="26" spans="1:33" s="9" customFormat="1" ht="15" customHeight="1" x14ac:dyDescent="0.2">
      <c r="A26" s="400" t="s">
        <v>460</v>
      </c>
      <c r="B26" s="324" t="s">
        <v>399</v>
      </c>
      <c r="C26" s="324"/>
      <c r="D26" s="324"/>
      <c r="E26" s="324"/>
      <c r="F26" s="324"/>
      <c r="G26" s="325">
        <v>9.6999999999999993</v>
      </c>
      <c r="H26" s="368">
        <v>12.6</v>
      </c>
      <c r="I26" s="328" t="s">
        <v>251</v>
      </c>
      <c r="J26" s="372">
        <v>50</v>
      </c>
      <c r="K26" s="542">
        <v>5</v>
      </c>
      <c r="L26" s="568"/>
      <c r="M26" s="570" t="s">
        <v>392</v>
      </c>
      <c r="N26" s="571"/>
      <c r="P26" s="556" t="s">
        <v>144</v>
      </c>
      <c r="Q26" s="557"/>
      <c r="R26" s="378">
        <v>865</v>
      </c>
      <c r="S26"/>
      <c r="T26"/>
      <c r="U26"/>
      <c r="V26"/>
      <c r="W26"/>
      <c r="X26"/>
      <c r="Y26"/>
      <c r="Z26"/>
      <c r="AA26"/>
      <c r="AB26"/>
      <c r="AC26"/>
      <c r="AD26"/>
      <c r="AE26"/>
      <c r="AF26"/>
      <c r="AG26"/>
    </row>
    <row r="27" spans="1:33" s="9" customFormat="1" ht="15" customHeight="1" x14ac:dyDescent="0.2">
      <c r="A27" s="400" t="s">
        <v>461</v>
      </c>
      <c r="B27" s="324" t="s">
        <v>400</v>
      </c>
      <c r="C27" s="324"/>
      <c r="D27" s="324"/>
      <c r="E27" s="324"/>
      <c r="F27" s="324"/>
      <c r="G27" s="325">
        <v>9.6999999999999993</v>
      </c>
      <c r="H27" s="368">
        <v>10.5</v>
      </c>
      <c r="I27" s="328" t="s">
        <v>251</v>
      </c>
      <c r="J27" s="372">
        <v>50</v>
      </c>
      <c r="K27" s="542">
        <v>5</v>
      </c>
      <c r="L27" s="568"/>
      <c r="M27" s="570" t="s">
        <v>393</v>
      </c>
      <c r="N27" s="571"/>
      <c r="P27" s="556" t="s">
        <v>145</v>
      </c>
      <c r="Q27" s="557"/>
      <c r="R27" s="378">
        <v>1298</v>
      </c>
      <c r="S27"/>
      <c r="T27"/>
      <c r="U27"/>
      <c r="V27"/>
      <c r="W27"/>
      <c r="X27"/>
      <c r="Y27"/>
      <c r="Z27"/>
      <c r="AA27"/>
      <c r="AB27"/>
      <c r="AC27"/>
      <c r="AD27"/>
      <c r="AE27"/>
      <c r="AF27"/>
      <c r="AG27"/>
    </row>
    <row r="28" spans="1:33" s="9" customFormat="1" ht="15" customHeight="1" thickBot="1" x14ac:dyDescent="0.25">
      <c r="A28" s="429" t="s">
        <v>462</v>
      </c>
      <c r="B28" s="323" t="s">
        <v>401</v>
      </c>
      <c r="C28" s="430"/>
      <c r="D28" s="323"/>
      <c r="E28" s="323"/>
      <c r="F28" s="323"/>
      <c r="G28" s="322">
        <v>9.1999999999999993</v>
      </c>
      <c r="H28" s="409">
        <v>15.5</v>
      </c>
      <c r="I28" s="410" t="s">
        <v>251</v>
      </c>
      <c r="J28" s="411">
        <v>50</v>
      </c>
      <c r="K28" s="562">
        <v>5</v>
      </c>
      <c r="L28" s="563"/>
      <c r="M28" s="598" t="s">
        <v>394</v>
      </c>
      <c r="N28" s="599"/>
      <c r="P28" s="556" t="s">
        <v>234</v>
      </c>
      <c r="Q28" s="557"/>
      <c r="R28" s="378">
        <v>754</v>
      </c>
      <c r="S28"/>
      <c r="T28"/>
      <c r="U28"/>
      <c r="V28"/>
      <c r="W28"/>
      <c r="X28"/>
      <c r="Y28"/>
      <c r="Z28"/>
      <c r="AA28"/>
      <c r="AB28"/>
      <c r="AC28"/>
      <c r="AD28"/>
      <c r="AE28"/>
      <c r="AF28"/>
      <c r="AG28"/>
    </row>
    <row r="29" spans="1:33" s="171" customFormat="1" ht="15" customHeight="1" x14ac:dyDescent="0.2">
      <c r="A29" s="431" t="s">
        <v>463</v>
      </c>
      <c r="B29" s="432" t="s">
        <v>373</v>
      </c>
      <c r="C29" s="433"/>
      <c r="D29" s="433"/>
      <c r="E29" s="433"/>
      <c r="F29" s="433"/>
      <c r="G29" s="434"/>
      <c r="H29" s="435">
        <v>13</v>
      </c>
      <c r="I29" s="416" t="s">
        <v>133</v>
      </c>
      <c r="J29" s="417">
        <v>50</v>
      </c>
      <c r="K29" s="548">
        <v>5</v>
      </c>
      <c r="L29" s="549"/>
      <c r="M29" s="550" t="s">
        <v>402</v>
      </c>
      <c r="N29" s="551"/>
      <c r="P29" s="556" t="s">
        <v>235</v>
      </c>
      <c r="Q29" s="557"/>
      <c r="R29" s="378">
        <v>589</v>
      </c>
      <c r="S29"/>
      <c r="T29"/>
      <c r="U29"/>
      <c r="V29"/>
      <c r="W29"/>
      <c r="X29"/>
      <c r="Y29"/>
      <c r="Z29"/>
      <c r="AA29"/>
      <c r="AB29"/>
      <c r="AC29"/>
      <c r="AD29"/>
      <c r="AE29"/>
      <c r="AF29"/>
      <c r="AG29"/>
    </row>
    <row r="30" spans="1:33" s="171" customFormat="1" ht="15" customHeight="1" x14ac:dyDescent="0.2">
      <c r="A30" s="402" t="s">
        <v>464</v>
      </c>
      <c r="B30" s="324" t="s">
        <v>374</v>
      </c>
      <c r="C30" s="324"/>
      <c r="D30" s="324"/>
      <c r="E30" s="324"/>
      <c r="F30" s="324"/>
      <c r="G30" s="325"/>
      <c r="H30" s="373" t="s">
        <v>419</v>
      </c>
      <c r="I30" s="328"/>
      <c r="J30" s="372">
        <v>50</v>
      </c>
      <c r="K30" s="542">
        <v>5</v>
      </c>
      <c r="L30" s="543"/>
      <c r="M30" s="540" t="s">
        <v>410</v>
      </c>
      <c r="N30" s="541"/>
      <c r="O30" s="171">
        <f>15-(0.3*12000/1000)</f>
        <v>11.4</v>
      </c>
      <c r="P30" s="556" t="s">
        <v>236</v>
      </c>
      <c r="Q30" s="557"/>
      <c r="R30" s="378">
        <v>446</v>
      </c>
      <c r="S30"/>
      <c r="T30"/>
      <c r="U30"/>
      <c r="V30"/>
      <c r="W30"/>
      <c r="X30"/>
      <c r="Y30"/>
      <c r="Z30"/>
      <c r="AA30"/>
      <c r="AB30"/>
      <c r="AC30"/>
      <c r="AD30"/>
      <c r="AE30"/>
      <c r="AF30"/>
      <c r="AG30"/>
    </row>
    <row r="31" spans="1:33" s="9" customFormat="1" ht="15" customHeight="1" x14ac:dyDescent="0.2">
      <c r="A31" s="403" t="s">
        <v>465</v>
      </c>
      <c r="B31" s="324" t="s">
        <v>375</v>
      </c>
      <c r="C31" s="324"/>
      <c r="D31" s="324"/>
      <c r="E31" s="324"/>
      <c r="F31" s="324"/>
      <c r="G31" s="325">
        <v>10</v>
      </c>
      <c r="H31" s="327">
        <v>11.3</v>
      </c>
      <c r="I31" s="328" t="s">
        <v>133</v>
      </c>
      <c r="J31" s="372">
        <v>50</v>
      </c>
      <c r="K31" s="542">
        <v>5</v>
      </c>
      <c r="L31" s="543"/>
      <c r="M31" s="540" t="s">
        <v>403</v>
      </c>
      <c r="N31" s="541"/>
      <c r="P31" s="556" t="s">
        <v>237</v>
      </c>
      <c r="Q31" s="557"/>
      <c r="R31" s="378">
        <v>651</v>
      </c>
      <c r="S31"/>
      <c r="T31"/>
      <c r="U31"/>
      <c r="V31"/>
      <c r="W31"/>
      <c r="X31"/>
      <c r="Y31"/>
      <c r="Z31"/>
      <c r="AA31"/>
      <c r="AB31"/>
      <c r="AC31"/>
      <c r="AD31"/>
      <c r="AE31"/>
      <c r="AF31"/>
      <c r="AG31"/>
    </row>
    <row r="32" spans="1:33" s="9" customFormat="1" ht="15" customHeight="1" x14ac:dyDescent="0.2">
      <c r="A32" s="408" t="s">
        <v>466</v>
      </c>
      <c r="B32" s="397" t="s">
        <v>376</v>
      </c>
      <c r="C32" s="323"/>
      <c r="D32" s="323"/>
      <c r="E32" s="323"/>
      <c r="F32" s="323"/>
      <c r="G32" s="322">
        <v>10</v>
      </c>
      <c r="H32" s="409">
        <v>10.5</v>
      </c>
      <c r="I32" s="410" t="s">
        <v>133</v>
      </c>
      <c r="J32" s="411">
        <v>50</v>
      </c>
      <c r="K32" s="564">
        <v>5</v>
      </c>
      <c r="L32" s="569"/>
      <c r="M32" s="540" t="s">
        <v>404</v>
      </c>
      <c r="N32" s="541"/>
      <c r="P32" s="556" t="s">
        <v>238</v>
      </c>
      <c r="Q32" s="557"/>
      <c r="R32" s="378">
        <v>1263</v>
      </c>
      <c r="S32"/>
      <c r="T32"/>
      <c r="U32"/>
      <c r="V32"/>
      <c r="W32"/>
      <c r="X32"/>
      <c r="Y32"/>
      <c r="Z32"/>
      <c r="AA32"/>
      <c r="AB32"/>
      <c r="AC32"/>
      <c r="AD32"/>
      <c r="AE32"/>
      <c r="AF32"/>
      <c r="AG32"/>
    </row>
    <row r="33" spans="1:33" s="9" customFormat="1" ht="15" customHeight="1" x14ac:dyDescent="0.2">
      <c r="A33" s="401" t="s">
        <v>467</v>
      </c>
      <c r="B33" s="324" t="s">
        <v>377</v>
      </c>
      <c r="C33" s="348"/>
      <c r="D33" s="348"/>
      <c r="E33" s="348"/>
      <c r="F33" s="348"/>
      <c r="G33" s="369"/>
      <c r="H33" s="373" t="s">
        <v>420</v>
      </c>
      <c r="I33" s="328"/>
      <c r="J33" s="372">
        <v>50</v>
      </c>
      <c r="K33" s="566">
        <v>5</v>
      </c>
      <c r="L33" s="567"/>
      <c r="M33" s="540" t="s">
        <v>411</v>
      </c>
      <c r="N33" s="541"/>
      <c r="O33" s="171">
        <f>11.9-(0.213*12000/1000)</f>
        <v>9.3440000000000012</v>
      </c>
      <c r="P33" s="510" t="s">
        <v>528</v>
      </c>
      <c r="Q33" s="511"/>
      <c r="R33" s="378">
        <v>729</v>
      </c>
      <c r="S33"/>
      <c r="T33"/>
      <c r="U33"/>
      <c r="V33"/>
      <c r="W33"/>
      <c r="X33"/>
      <c r="Y33"/>
      <c r="Z33"/>
      <c r="AA33"/>
      <c r="AB33"/>
      <c r="AC33"/>
      <c r="AD33"/>
      <c r="AE33"/>
      <c r="AF33"/>
      <c r="AG33"/>
    </row>
    <row r="34" spans="1:33" s="9" customFormat="1" ht="15" customHeight="1" thickBot="1" x14ac:dyDescent="0.25">
      <c r="A34" s="436" t="s">
        <v>468</v>
      </c>
      <c r="B34" s="428" t="s">
        <v>378</v>
      </c>
      <c r="C34" s="418"/>
      <c r="D34" s="418"/>
      <c r="E34" s="418"/>
      <c r="F34" s="418"/>
      <c r="G34" s="419"/>
      <c r="H34" s="437">
        <v>9.5</v>
      </c>
      <c r="I34" s="421" t="s">
        <v>133</v>
      </c>
      <c r="J34" s="422">
        <v>50</v>
      </c>
      <c r="K34" s="552">
        <v>5</v>
      </c>
      <c r="L34" s="553"/>
      <c r="M34" s="544" t="s">
        <v>405</v>
      </c>
      <c r="N34" s="545"/>
      <c r="P34" s="556" t="s">
        <v>239</v>
      </c>
      <c r="Q34" s="557"/>
      <c r="R34" s="378">
        <v>652</v>
      </c>
      <c r="S34"/>
      <c r="T34"/>
      <c r="U34"/>
      <c r="V34"/>
      <c r="W34"/>
      <c r="X34"/>
      <c r="Y34"/>
      <c r="Z34"/>
      <c r="AA34"/>
      <c r="AB34"/>
      <c r="AC34"/>
      <c r="AD34"/>
      <c r="AE34"/>
      <c r="AF34"/>
      <c r="AG34"/>
    </row>
    <row r="35" spans="1:33" s="9" customFormat="1" ht="15" customHeight="1" x14ac:dyDescent="0.2">
      <c r="A35" s="412" t="s">
        <v>469</v>
      </c>
      <c r="B35" s="427" t="s">
        <v>379</v>
      </c>
      <c r="C35" s="413"/>
      <c r="D35" s="413"/>
      <c r="E35" s="413"/>
      <c r="F35" s="413"/>
      <c r="G35" s="414"/>
      <c r="H35" s="415">
        <v>13.3</v>
      </c>
      <c r="I35" s="416" t="s">
        <v>133</v>
      </c>
      <c r="J35" s="417">
        <v>50</v>
      </c>
      <c r="K35" s="548">
        <v>5</v>
      </c>
      <c r="L35" s="549"/>
      <c r="M35" s="550" t="s">
        <v>402</v>
      </c>
      <c r="N35" s="551"/>
      <c r="P35" s="556" t="s">
        <v>240</v>
      </c>
      <c r="Q35" s="557"/>
      <c r="R35" s="378">
        <v>686</v>
      </c>
      <c r="S35"/>
      <c r="T35"/>
      <c r="U35"/>
      <c r="V35"/>
      <c r="W35"/>
      <c r="X35"/>
      <c r="Y35"/>
      <c r="Z35"/>
      <c r="AA35"/>
      <c r="AB35"/>
      <c r="AC35"/>
      <c r="AD35"/>
      <c r="AE35"/>
      <c r="AF35"/>
      <c r="AG35"/>
    </row>
    <row r="36" spans="1:33" s="9" customFormat="1" ht="15" customHeight="1" x14ac:dyDescent="0.2">
      <c r="A36" s="423" t="s">
        <v>470</v>
      </c>
      <c r="B36" s="324" t="s">
        <v>380</v>
      </c>
      <c r="C36" s="324"/>
      <c r="D36" s="324"/>
      <c r="E36" s="324"/>
      <c r="F36" s="324"/>
      <c r="G36" s="325"/>
      <c r="H36" s="558" t="s">
        <v>421</v>
      </c>
      <c r="I36" s="559"/>
      <c r="J36" s="372">
        <v>50</v>
      </c>
      <c r="K36" s="560">
        <v>5</v>
      </c>
      <c r="L36" s="561"/>
      <c r="M36" s="540" t="s">
        <v>412</v>
      </c>
      <c r="N36" s="541"/>
      <c r="O36" s="171">
        <f>15-(0.3*12000/1000)</f>
        <v>11.4</v>
      </c>
      <c r="P36" s="556" t="s">
        <v>241</v>
      </c>
      <c r="Q36" s="557"/>
      <c r="R36" s="378">
        <v>574</v>
      </c>
      <c r="S36"/>
      <c r="T36"/>
      <c r="U36"/>
      <c r="V36"/>
      <c r="W36"/>
      <c r="X36"/>
      <c r="Y36"/>
      <c r="Z36"/>
      <c r="AA36"/>
      <c r="AB36"/>
      <c r="AC36"/>
      <c r="AD36"/>
      <c r="AE36"/>
      <c r="AF36"/>
      <c r="AG36"/>
    </row>
    <row r="37" spans="1:33" s="9" customFormat="1" ht="15" customHeight="1" thickBot="1" x14ac:dyDescent="0.25">
      <c r="A37" s="423" t="s">
        <v>471</v>
      </c>
      <c r="B37" s="424" t="s">
        <v>381</v>
      </c>
      <c r="C37" s="406"/>
      <c r="D37" s="406"/>
      <c r="E37" s="406"/>
      <c r="F37" s="406"/>
      <c r="G37" s="425"/>
      <c r="H37" s="426">
        <v>11.3</v>
      </c>
      <c r="I37" s="330" t="s">
        <v>133</v>
      </c>
      <c r="J37" s="371">
        <v>50</v>
      </c>
      <c r="K37" s="546">
        <v>5</v>
      </c>
      <c r="L37" s="547"/>
      <c r="M37" s="540" t="s">
        <v>403</v>
      </c>
      <c r="N37" s="541"/>
      <c r="O37" s="171"/>
      <c r="P37" s="554" t="s">
        <v>242</v>
      </c>
      <c r="Q37" s="555"/>
      <c r="R37" s="379">
        <v>409</v>
      </c>
      <c r="S37"/>
      <c r="T37"/>
      <c r="U37"/>
      <c r="V37"/>
      <c r="W37"/>
      <c r="X37"/>
      <c r="Y37"/>
      <c r="Z37"/>
      <c r="AA37"/>
      <c r="AB37"/>
      <c r="AC37"/>
      <c r="AD37"/>
      <c r="AE37"/>
      <c r="AF37"/>
      <c r="AG37"/>
    </row>
    <row r="38" spans="1:33" s="9" customFormat="1" ht="15" customHeight="1" x14ac:dyDescent="0.2">
      <c r="A38" s="402" t="s">
        <v>472</v>
      </c>
      <c r="B38" s="323" t="s">
        <v>382</v>
      </c>
      <c r="C38" s="324"/>
      <c r="D38" s="324"/>
      <c r="E38" s="324"/>
      <c r="F38" s="324"/>
      <c r="G38" s="325"/>
      <c r="H38" s="373">
        <v>10.5</v>
      </c>
      <c r="I38" s="328" t="s">
        <v>133</v>
      </c>
      <c r="J38" s="372">
        <v>50</v>
      </c>
      <c r="K38" s="542">
        <v>5</v>
      </c>
      <c r="L38" s="543"/>
      <c r="M38" s="540" t="s">
        <v>406</v>
      </c>
      <c r="N38" s="541"/>
      <c r="Q38"/>
      <c r="R38"/>
      <c r="S38"/>
      <c r="T38"/>
      <c r="U38"/>
      <c r="V38"/>
      <c r="W38"/>
      <c r="X38"/>
      <c r="Y38"/>
      <c r="Z38"/>
      <c r="AA38"/>
      <c r="AB38"/>
      <c r="AC38"/>
      <c r="AD38"/>
      <c r="AE38"/>
      <c r="AF38"/>
      <c r="AG38"/>
    </row>
    <row r="39" spans="1:33" s="9" customFormat="1" ht="15" customHeight="1" x14ac:dyDescent="0.2">
      <c r="A39" s="403" t="s">
        <v>473</v>
      </c>
      <c r="B39" s="324" t="s">
        <v>383</v>
      </c>
      <c r="C39" s="324"/>
      <c r="D39" s="324"/>
      <c r="E39" s="324"/>
      <c r="F39" s="324"/>
      <c r="G39" s="325"/>
      <c r="H39" s="558" t="s">
        <v>420</v>
      </c>
      <c r="I39" s="559"/>
      <c r="J39" s="372">
        <v>50</v>
      </c>
      <c r="K39" s="542">
        <v>5</v>
      </c>
      <c r="L39" s="543"/>
      <c r="M39" s="540" t="s">
        <v>413</v>
      </c>
      <c r="N39" s="541"/>
      <c r="O39" s="171">
        <f>11.9-(0.213*12000/1000)</f>
        <v>9.3440000000000012</v>
      </c>
      <c r="P39"/>
      <c r="Q39"/>
      <c r="S39"/>
      <c r="T39"/>
      <c r="U39"/>
      <c r="V39"/>
      <c r="W39"/>
      <c r="X39"/>
      <c r="Y39"/>
      <c r="Z39"/>
      <c r="AA39"/>
      <c r="AB39"/>
      <c r="AC39"/>
      <c r="AD39"/>
      <c r="AE39"/>
      <c r="AF39"/>
      <c r="AG39"/>
    </row>
    <row r="40" spans="1:33" s="9" customFormat="1" ht="15" customHeight="1" thickBot="1" x14ac:dyDescent="0.25">
      <c r="A40" s="404" t="s">
        <v>474</v>
      </c>
      <c r="B40" s="418" t="s">
        <v>384</v>
      </c>
      <c r="C40" s="418"/>
      <c r="D40" s="418"/>
      <c r="E40" s="418"/>
      <c r="F40" s="418"/>
      <c r="G40" s="419"/>
      <c r="H40" s="420">
        <v>9.5</v>
      </c>
      <c r="I40" s="421" t="s">
        <v>133</v>
      </c>
      <c r="J40" s="422">
        <v>50</v>
      </c>
      <c r="K40" s="552">
        <v>5</v>
      </c>
      <c r="L40" s="553"/>
      <c r="M40" s="544" t="s">
        <v>407</v>
      </c>
      <c r="N40" s="545"/>
      <c r="S40"/>
      <c r="T40"/>
      <c r="U40"/>
      <c r="V40"/>
      <c r="W40"/>
      <c r="X40"/>
      <c r="Y40"/>
      <c r="Z40"/>
      <c r="AA40"/>
      <c r="AB40"/>
      <c r="AC40"/>
      <c r="AD40"/>
      <c r="AE40"/>
      <c r="AF40"/>
      <c r="AG40"/>
    </row>
    <row r="41" spans="1:33" s="9" customFormat="1" x14ac:dyDescent="0.2">
      <c r="B41" s="94"/>
      <c r="C41" s="94"/>
      <c r="D41" s="94"/>
      <c r="E41" s="94"/>
      <c r="F41" s="94"/>
      <c r="G41" s="94"/>
      <c r="H41" s="94"/>
      <c r="I41" s="94"/>
      <c r="J41" s="94"/>
      <c r="K41" s="94"/>
      <c r="M41"/>
      <c r="N41"/>
      <c r="P41"/>
      <c r="Q41"/>
      <c r="R41"/>
      <c r="S41"/>
      <c r="T41"/>
      <c r="U41"/>
      <c r="V41"/>
      <c r="W41"/>
      <c r="X41"/>
      <c r="Y41"/>
      <c r="Z41"/>
      <c r="AA41"/>
      <c r="AB41"/>
      <c r="AC41"/>
      <c r="AD41"/>
      <c r="AE41"/>
      <c r="AF41"/>
      <c r="AG41"/>
    </row>
    <row r="42" spans="1:33" x14ac:dyDescent="0.2">
      <c r="A42" s="335" t="s">
        <v>253</v>
      </c>
      <c r="B42" s="171"/>
      <c r="C42" s="171"/>
      <c r="D42" s="171"/>
      <c r="E42" s="171"/>
      <c r="F42" s="171"/>
      <c r="G42" s="171"/>
      <c r="H42" s="171"/>
      <c r="I42" s="171"/>
      <c r="J42" s="171"/>
      <c r="K42" s="171"/>
      <c r="P42" s="9"/>
      <c r="Q42" s="9"/>
    </row>
    <row r="43" spans="1:33" x14ac:dyDescent="0.2">
      <c r="A43" s="176" t="s">
        <v>254</v>
      </c>
      <c r="B43" s="171"/>
      <c r="C43" s="171"/>
      <c r="D43" s="171"/>
      <c r="E43" s="171"/>
      <c r="F43" s="171"/>
      <c r="G43" s="171"/>
      <c r="H43" s="171"/>
      <c r="I43" s="171"/>
      <c r="J43" s="171"/>
      <c r="K43" s="171"/>
    </row>
    <row r="44" spans="1:33" x14ac:dyDescent="0.2">
      <c r="A44" s="172" t="s">
        <v>429</v>
      </c>
      <c r="B44" s="171"/>
      <c r="C44" s="171"/>
      <c r="D44" s="171"/>
      <c r="E44" s="171"/>
      <c r="F44" s="171"/>
      <c r="G44" s="171"/>
      <c r="H44" s="171"/>
      <c r="I44" s="171"/>
      <c r="J44" s="171"/>
      <c r="K44" s="171"/>
    </row>
    <row r="45" spans="1:33" ht="12.75" customHeight="1" x14ac:dyDescent="0.2">
      <c r="A45" s="508" t="s">
        <v>415</v>
      </c>
      <c r="B45" s="508"/>
      <c r="C45" s="508"/>
      <c r="D45" s="508"/>
      <c r="E45" s="508"/>
      <c r="F45" s="508"/>
      <c r="G45" s="508"/>
      <c r="H45" s="508"/>
      <c r="I45" s="508"/>
      <c r="J45" s="508"/>
      <c r="K45" s="508"/>
      <c r="L45" s="509"/>
      <c r="M45" s="509"/>
      <c r="N45" s="509"/>
      <c r="O45" s="509"/>
    </row>
    <row r="46" spans="1:33" x14ac:dyDescent="0.2">
      <c r="A46" s="508"/>
      <c r="B46" s="508"/>
      <c r="C46" s="508"/>
      <c r="D46" s="508"/>
      <c r="E46" s="508"/>
      <c r="F46" s="508"/>
      <c r="G46" s="508"/>
      <c r="H46" s="508"/>
      <c r="I46" s="508"/>
      <c r="J46" s="508"/>
      <c r="K46" s="508"/>
      <c r="L46" s="509"/>
      <c r="M46" s="509"/>
      <c r="N46" s="509"/>
      <c r="O46" s="509"/>
      <c r="P46" s="509"/>
    </row>
    <row r="47" spans="1:33" x14ac:dyDescent="0.2">
      <c r="A47" s="335" t="s">
        <v>255</v>
      </c>
      <c r="B47" s="94"/>
      <c r="C47" s="94"/>
      <c r="D47" s="94"/>
      <c r="E47" s="94"/>
      <c r="F47" s="94"/>
      <c r="G47" s="94"/>
      <c r="H47" s="94"/>
      <c r="I47" s="94"/>
      <c r="J47" s="94"/>
      <c r="K47" s="94"/>
      <c r="P47" s="509"/>
    </row>
    <row r="50" spans="1:5" x14ac:dyDescent="0.2">
      <c r="A50" s="66"/>
      <c r="E50" s="64"/>
    </row>
    <row r="51" spans="1:5" x14ac:dyDescent="0.2">
      <c r="A51" s="66"/>
      <c r="E51" s="64"/>
    </row>
    <row r="52" spans="1:5" x14ac:dyDescent="0.2">
      <c r="A52" s="66"/>
      <c r="E52" s="64"/>
    </row>
    <row r="53" spans="1:5" x14ac:dyDescent="0.2">
      <c r="A53" s="66"/>
      <c r="E53" s="64"/>
    </row>
    <row r="54" spans="1:5" x14ac:dyDescent="0.2">
      <c r="A54" s="66"/>
      <c r="E54" s="64"/>
    </row>
    <row r="55" spans="1:5" x14ac:dyDescent="0.2">
      <c r="A55" s="66"/>
      <c r="E55" s="64"/>
    </row>
    <row r="56" spans="1:5" x14ac:dyDescent="0.2">
      <c r="A56" s="66"/>
      <c r="E56" s="64"/>
    </row>
    <row r="57" spans="1:5" x14ac:dyDescent="0.2">
      <c r="A57" s="66"/>
      <c r="E57" s="64"/>
    </row>
    <row r="58" spans="1:5" x14ac:dyDescent="0.2">
      <c r="A58" s="66"/>
      <c r="E58" s="64"/>
    </row>
    <row r="59" spans="1:5" x14ac:dyDescent="0.2">
      <c r="A59" s="66"/>
      <c r="E59" s="64"/>
    </row>
    <row r="60" spans="1:5" x14ac:dyDescent="0.2">
      <c r="A60" s="66"/>
      <c r="E60" s="64"/>
    </row>
    <row r="61" spans="1:5" x14ac:dyDescent="0.2">
      <c r="A61" s="66"/>
      <c r="E61" s="64"/>
    </row>
    <row r="62" spans="1:5" x14ac:dyDescent="0.2">
      <c r="A62" s="66"/>
      <c r="E62" s="64"/>
    </row>
    <row r="63" spans="1:5" x14ac:dyDescent="0.2">
      <c r="A63" s="66"/>
      <c r="E63" s="64"/>
    </row>
    <row r="64" spans="1:5" x14ac:dyDescent="0.2">
      <c r="A64" s="66"/>
      <c r="E64" s="64"/>
    </row>
    <row r="65" spans="1:5" x14ac:dyDescent="0.2">
      <c r="A65" s="66"/>
      <c r="E65" s="64"/>
    </row>
    <row r="66" spans="1:5" x14ac:dyDescent="0.2">
      <c r="A66" s="66"/>
      <c r="E66" s="64"/>
    </row>
    <row r="67" spans="1:5" x14ac:dyDescent="0.2">
      <c r="A67" s="66"/>
      <c r="E67" s="64"/>
    </row>
    <row r="68" spans="1:5" x14ac:dyDescent="0.2">
      <c r="A68" s="66"/>
      <c r="E68" s="64"/>
    </row>
    <row r="69" spans="1:5" x14ac:dyDescent="0.2">
      <c r="A69" s="66"/>
      <c r="E69" s="64"/>
    </row>
    <row r="70" spans="1:5" x14ac:dyDescent="0.2">
      <c r="A70" s="66"/>
      <c r="E70" s="64"/>
    </row>
    <row r="71" spans="1:5" x14ac:dyDescent="0.2">
      <c r="A71" s="66"/>
      <c r="E71" s="64"/>
    </row>
    <row r="72" spans="1:5" x14ac:dyDescent="0.2">
      <c r="A72" s="65"/>
      <c r="E72" s="64"/>
    </row>
    <row r="73" spans="1:5" x14ac:dyDescent="0.2">
      <c r="E73" s="64"/>
    </row>
    <row r="74" spans="1:5" x14ac:dyDescent="0.2">
      <c r="E74" s="64"/>
    </row>
    <row r="75" spans="1:5" x14ac:dyDescent="0.2">
      <c r="E75" s="64"/>
    </row>
    <row r="76" spans="1:5" x14ac:dyDescent="0.2">
      <c r="E76" s="64"/>
    </row>
    <row r="77" spans="1:5" x14ac:dyDescent="0.2">
      <c r="E77" s="64"/>
    </row>
    <row r="78" spans="1:5" x14ac:dyDescent="0.2">
      <c r="E78" s="64"/>
    </row>
    <row r="79" spans="1:5" x14ac:dyDescent="0.2">
      <c r="E79" s="64"/>
    </row>
    <row r="80" spans="1:5" x14ac:dyDescent="0.2">
      <c r="E80" s="64"/>
    </row>
    <row r="81" spans="5:5" x14ac:dyDescent="0.2">
      <c r="E81" s="64"/>
    </row>
    <row r="82" spans="5:5" x14ac:dyDescent="0.2">
      <c r="E82" s="64"/>
    </row>
    <row r="83" spans="5:5" x14ac:dyDescent="0.2">
      <c r="E83" s="64"/>
    </row>
    <row r="84" spans="5:5" x14ac:dyDescent="0.2">
      <c r="E84" s="64"/>
    </row>
    <row r="85" spans="5:5" x14ac:dyDescent="0.2">
      <c r="E85" s="64"/>
    </row>
    <row r="86" spans="5:5" x14ac:dyDescent="0.2">
      <c r="E86" s="64"/>
    </row>
    <row r="87" spans="5:5" x14ac:dyDescent="0.2">
      <c r="E87" s="64"/>
    </row>
    <row r="88" spans="5:5" x14ac:dyDescent="0.2">
      <c r="E88" s="64"/>
    </row>
    <row r="89" spans="5:5" x14ac:dyDescent="0.2">
      <c r="E89" s="64"/>
    </row>
    <row r="90" spans="5:5" x14ac:dyDescent="0.2">
      <c r="E90" s="64"/>
    </row>
    <row r="91" spans="5:5" x14ac:dyDescent="0.2">
      <c r="E91" s="64"/>
    </row>
    <row r="92" spans="5:5" x14ac:dyDescent="0.2">
      <c r="E92" s="64"/>
    </row>
    <row r="93" spans="5:5" x14ac:dyDescent="0.2">
      <c r="E93" s="64"/>
    </row>
    <row r="94" spans="5:5" x14ac:dyDescent="0.2">
      <c r="E94" s="64"/>
    </row>
    <row r="95" spans="5:5" x14ac:dyDescent="0.2">
      <c r="E95" s="64"/>
    </row>
    <row r="96" spans="5:5" x14ac:dyDescent="0.2">
      <c r="E96" s="64"/>
    </row>
    <row r="97" spans="5:5" x14ac:dyDescent="0.2">
      <c r="E97" s="64"/>
    </row>
    <row r="98" spans="5:5" x14ac:dyDescent="0.2">
      <c r="E98" s="64"/>
    </row>
    <row r="99" spans="5:5" x14ac:dyDescent="0.2">
      <c r="E99" s="64"/>
    </row>
    <row r="100" spans="5:5" x14ac:dyDescent="0.2">
      <c r="E100" s="64"/>
    </row>
    <row r="101" spans="5:5" x14ac:dyDescent="0.2">
      <c r="E101" s="64"/>
    </row>
    <row r="102" spans="5:5" x14ac:dyDescent="0.2">
      <c r="E102" s="64"/>
    </row>
    <row r="103" spans="5:5" x14ac:dyDescent="0.2">
      <c r="E103" s="64"/>
    </row>
    <row r="104" spans="5:5" x14ac:dyDescent="0.2">
      <c r="E104" s="64"/>
    </row>
    <row r="105" spans="5:5" x14ac:dyDescent="0.2">
      <c r="E105" s="64"/>
    </row>
    <row r="106" spans="5:5" x14ac:dyDescent="0.2">
      <c r="E106" s="64"/>
    </row>
    <row r="107" spans="5:5" x14ac:dyDescent="0.2">
      <c r="E107" s="64"/>
    </row>
    <row r="108" spans="5:5" x14ac:dyDescent="0.2">
      <c r="E108" s="64"/>
    </row>
    <row r="109" spans="5:5" x14ac:dyDescent="0.2">
      <c r="E109" s="64"/>
    </row>
    <row r="110" spans="5:5" x14ac:dyDescent="0.2">
      <c r="E110" s="64"/>
    </row>
    <row r="111" spans="5:5" x14ac:dyDescent="0.2">
      <c r="E111" s="64"/>
    </row>
    <row r="112" spans="5:5" x14ac:dyDescent="0.2">
      <c r="E112" s="64"/>
    </row>
    <row r="113" spans="2:5" x14ac:dyDescent="0.2">
      <c r="E113" s="64"/>
    </row>
    <row r="114" spans="2:5" x14ac:dyDescent="0.2">
      <c r="E114" s="64"/>
    </row>
    <row r="115" spans="2:5" x14ac:dyDescent="0.2">
      <c r="E115" s="64"/>
    </row>
    <row r="116" spans="2:5" x14ac:dyDescent="0.2">
      <c r="B116" s="64"/>
      <c r="E116" s="64"/>
    </row>
    <row r="117" spans="2:5" x14ac:dyDescent="0.2">
      <c r="E117" s="64"/>
    </row>
    <row r="118" spans="2:5" x14ac:dyDescent="0.2">
      <c r="E118" s="64"/>
    </row>
  </sheetData>
  <sheetProtection selectLockedCells="1"/>
  <mergeCells count="67">
    <mergeCell ref="P34:Q34"/>
    <mergeCell ref="P32:Q32"/>
    <mergeCell ref="X16:Y16"/>
    <mergeCell ref="P26:Q26"/>
    <mergeCell ref="P25:Q25"/>
    <mergeCell ref="P24:Q24"/>
    <mergeCell ref="P23:Q23"/>
    <mergeCell ref="M32:N32"/>
    <mergeCell ref="M28:N28"/>
    <mergeCell ref="M31:N31"/>
    <mergeCell ref="M25:N25"/>
    <mergeCell ref="P30:Q30"/>
    <mergeCell ref="M30:N30"/>
    <mergeCell ref="M29:N29"/>
    <mergeCell ref="P31:Q31"/>
    <mergeCell ref="P29:Q29"/>
    <mergeCell ref="P28:Q28"/>
    <mergeCell ref="P27:Q27"/>
    <mergeCell ref="M26:N26"/>
    <mergeCell ref="M27:N27"/>
    <mergeCell ref="A2:T2"/>
    <mergeCell ref="H21:I21"/>
    <mergeCell ref="A8:C8"/>
    <mergeCell ref="M22:N22"/>
    <mergeCell ref="M23:N23"/>
    <mergeCell ref="M24:N24"/>
    <mergeCell ref="P22:Q22"/>
    <mergeCell ref="D8:N8"/>
    <mergeCell ref="O8:T8"/>
    <mergeCell ref="M21:N21"/>
    <mergeCell ref="B22:D22"/>
    <mergeCell ref="P21:Q21"/>
    <mergeCell ref="B21:G21"/>
    <mergeCell ref="K21:L21"/>
    <mergeCell ref="K24:L24"/>
    <mergeCell ref="K23:L23"/>
    <mergeCell ref="K22:L22"/>
    <mergeCell ref="Q18:R19"/>
    <mergeCell ref="K30:L30"/>
    <mergeCell ref="K29:L29"/>
    <mergeCell ref="K28:L28"/>
    <mergeCell ref="K34:L34"/>
    <mergeCell ref="K25:L25"/>
    <mergeCell ref="K33:L33"/>
    <mergeCell ref="K26:L26"/>
    <mergeCell ref="K27:L27"/>
    <mergeCell ref="K32:L32"/>
    <mergeCell ref="K31:L31"/>
    <mergeCell ref="P37:Q37"/>
    <mergeCell ref="P36:Q36"/>
    <mergeCell ref="P35:Q35"/>
    <mergeCell ref="H36:I36"/>
    <mergeCell ref="H39:I39"/>
    <mergeCell ref="K36:L36"/>
    <mergeCell ref="K38:L38"/>
    <mergeCell ref="M33:N33"/>
    <mergeCell ref="M38:N38"/>
    <mergeCell ref="K39:L39"/>
    <mergeCell ref="M39:N39"/>
    <mergeCell ref="M40:N40"/>
    <mergeCell ref="M36:N36"/>
    <mergeCell ref="K37:L37"/>
    <mergeCell ref="M34:N34"/>
    <mergeCell ref="K35:L35"/>
    <mergeCell ref="M35:N35"/>
    <mergeCell ref="M37:N37"/>
    <mergeCell ref="K40:L40"/>
  </mergeCells>
  <phoneticPr fontId="7" type="noConversion"/>
  <dataValidations count="6">
    <dataValidation allowBlank="1" showInputMessage="1" prompt="Current equipment efficiencies should be used if replacing working equipment. If efficiencies are unknown, use Baseline efficiency from the Yellow box in table 1 for New Construction and unknown retrofit efficiencies" sqref="B11" xr:uid="{00000000-0002-0000-0200-000000000000}"/>
    <dataValidation type="decimal" operator="greaterThanOrEqual" allowBlank="1" showErrorMessage="1" errorTitle="Invalid Efficiency Rating" error="Unit SEER or EER must be equal or greater than Minimum Efficiency." sqref="J11:J17" xr:uid="{00000000-0002-0000-0200-000001000000}">
      <formula1>I11</formula1>
    </dataValidation>
    <dataValidation type="whole" operator="greaterThanOrEqual" allowBlank="1" showErrorMessage="1" errorTitle="Unit Quantity" error="Please enter a valid number of units!" sqref="K11:K17" xr:uid="{00000000-0002-0000-0200-000002000000}">
      <formula1>0</formula1>
    </dataValidation>
    <dataValidation type="whole" operator="greaterThanOrEqual" allowBlank="1" showErrorMessage="1" errorTitle="Invalid Quantity" error="Please enter the quantity of units -- a value equal to or greater than zero!" sqref="C11:C17" xr:uid="{00000000-0002-0000-0200-000003000000}">
      <formula1>0</formula1>
    </dataValidation>
    <dataValidation allowBlank="1" showInputMessage="1" prompt="Use Baseline efficiency from the Yellow box in table 1 for New Construction and unknown Retrofit Efficiencies" sqref="B12:B17" xr:uid="{00000000-0002-0000-0200-000004000000}"/>
    <dataValidation type="list" allowBlank="1" showInputMessage="1" showErrorMessage="1" sqref="D11:D17" xr:uid="{00000000-0002-0000-0200-000005000000}">
      <formula1>$A$22:$A$40</formula1>
    </dataValidation>
  </dataValidations>
  <printOptions horizontalCentered="1"/>
  <pageMargins left="0.2" right="0" top="0" bottom="0" header="0" footer="0"/>
  <pageSetup scale="58" orientation="landscape" r:id="rId1"/>
  <headerFooter alignWithMargins="0"/>
  <colBreaks count="1" manualBreakCount="1">
    <brk id="15" max="44" man="1"/>
  </colBreaks>
  <drawing r:id="rId2"/>
  <legacyDrawing r:id="rId3"/>
  <mc:AlternateContent xmlns:mc="http://schemas.openxmlformats.org/markup-compatibility/2006">
    <mc:Choice Requires="x14">
      <controls>
        <mc:AlternateContent xmlns:mc="http://schemas.openxmlformats.org/markup-compatibility/2006">
          <mc:Choice Requires="x14">
            <control shapeId="3221" r:id="rId4" name="Option Button 149">
              <controlPr locked="0" defaultSize="0" autoFill="0" autoLine="0" autoPict="0">
                <anchor moveWithCells="1">
                  <from>
                    <xdr:col>2</xdr:col>
                    <xdr:colOff>47625</xdr:colOff>
                    <xdr:row>3</xdr:row>
                    <xdr:rowOff>0</xdr:rowOff>
                  </from>
                  <to>
                    <xdr:col>3</xdr:col>
                    <xdr:colOff>0</xdr:colOff>
                    <xdr:row>4</xdr:row>
                    <xdr:rowOff>76200</xdr:rowOff>
                  </to>
                </anchor>
              </controlPr>
            </control>
          </mc:Choice>
        </mc:AlternateContent>
        <mc:AlternateContent xmlns:mc="http://schemas.openxmlformats.org/markup-compatibility/2006">
          <mc:Choice Requires="x14">
            <control shapeId="3222" r:id="rId5" name="Option Button 150">
              <controlPr defaultSize="0" autoFill="0" autoLine="0" autoPict="0">
                <anchor moveWithCells="1">
                  <from>
                    <xdr:col>2</xdr:col>
                    <xdr:colOff>47625</xdr:colOff>
                    <xdr:row>3</xdr:row>
                    <xdr:rowOff>104775</xdr:rowOff>
                  </from>
                  <to>
                    <xdr:col>3</xdr:col>
                    <xdr:colOff>0</xdr:colOff>
                    <xdr:row>5</xdr:row>
                    <xdr:rowOff>38100</xdr:rowOff>
                  </to>
                </anchor>
              </controlPr>
            </control>
          </mc:Choice>
        </mc:AlternateContent>
        <mc:AlternateContent xmlns:mc="http://schemas.openxmlformats.org/markup-compatibility/2006">
          <mc:Choice Requires="x14">
            <control shapeId="3231" r:id="rId6" name="Option Button 159">
              <controlPr defaultSize="0" autoFill="0" autoLine="0" autoPict="0">
                <anchor moveWithCells="1">
                  <from>
                    <xdr:col>6</xdr:col>
                    <xdr:colOff>57150</xdr:colOff>
                    <xdr:row>4</xdr:row>
                    <xdr:rowOff>257175</xdr:rowOff>
                  </from>
                  <to>
                    <xdr:col>6</xdr:col>
                    <xdr:colOff>361950</xdr:colOff>
                    <xdr:row>6</xdr:row>
                    <xdr:rowOff>0</xdr:rowOff>
                  </to>
                </anchor>
              </controlPr>
            </control>
          </mc:Choice>
        </mc:AlternateContent>
        <mc:AlternateContent xmlns:mc="http://schemas.openxmlformats.org/markup-compatibility/2006">
          <mc:Choice Requires="x14">
            <control shapeId="3232" r:id="rId7" name="Option Button 160">
              <controlPr defaultSize="0" autoFill="0" autoLine="0" autoPict="0">
                <anchor moveWithCells="1">
                  <from>
                    <xdr:col>6</xdr:col>
                    <xdr:colOff>57150</xdr:colOff>
                    <xdr:row>5</xdr:row>
                    <xdr:rowOff>171450</xdr:rowOff>
                  </from>
                  <to>
                    <xdr:col>6</xdr:col>
                    <xdr:colOff>361950</xdr:colOff>
                    <xdr:row>6</xdr:row>
                    <xdr:rowOff>190500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R114"/>
  <sheetViews>
    <sheetView zoomScale="85" zoomScaleNormal="85" zoomScaleSheetLayoutView="80" workbookViewId="0">
      <selection activeCell="A2" sqref="A2:T2"/>
    </sheetView>
  </sheetViews>
  <sheetFormatPr defaultRowHeight="12.75" x14ac:dyDescent="0.2"/>
  <cols>
    <col min="1" max="1" width="14.28515625" customWidth="1"/>
    <col min="2" max="2" width="9.28515625" customWidth="1"/>
    <col min="3" max="3" width="5.42578125" customWidth="1"/>
    <col min="4" max="4" width="12.42578125" customWidth="1"/>
    <col min="5" max="6" width="14" customWidth="1"/>
    <col min="7" max="7" width="7" customWidth="1"/>
    <col min="8" max="8" width="16.5703125" customWidth="1"/>
    <col min="9" max="9" width="12.28515625" customWidth="1"/>
    <col min="10" max="10" width="9.140625" customWidth="1"/>
    <col min="11" max="11" width="5.42578125" customWidth="1"/>
    <col min="12" max="12" width="10.28515625" customWidth="1"/>
    <col min="13" max="13" width="14.5703125" customWidth="1"/>
    <col min="14" max="14" width="14.28515625" customWidth="1"/>
    <col min="15" max="15" width="11.7109375" customWidth="1"/>
    <col min="16" max="16" width="14.42578125" customWidth="1"/>
    <col min="17" max="17" width="11.7109375" customWidth="1"/>
    <col min="18" max="18" width="16.28515625" customWidth="1"/>
    <col min="19" max="19" width="13.5703125" customWidth="1"/>
    <col min="20" max="20" width="15.140625" customWidth="1"/>
    <col min="21" max="23" width="0" hidden="1" customWidth="1"/>
    <col min="24" max="24" width="29.42578125" hidden="1" customWidth="1"/>
    <col min="25" max="25" width="11" hidden="1" customWidth="1"/>
  </cols>
  <sheetData>
    <row r="1" spans="1:252" ht="13.5" thickBot="1" x14ac:dyDescent="0.25"/>
    <row r="2" spans="1:252" s="24" customFormat="1" ht="19.5" customHeight="1" thickBot="1" x14ac:dyDescent="0.35">
      <c r="A2" s="590" t="s">
        <v>530</v>
      </c>
      <c r="B2" s="591"/>
      <c r="C2" s="591"/>
      <c r="D2" s="591"/>
      <c r="E2" s="591"/>
      <c r="F2" s="591"/>
      <c r="G2" s="591"/>
      <c r="H2" s="591"/>
      <c r="I2" s="591"/>
      <c r="J2" s="591"/>
      <c r="K2" s="591"/>
      <c r="L2" s="591"/>
      <c r="M2" s="591"/>
      <c r="N2" s="591"/>
      <c r="O2" s="591"/>
      <c r="P2" s="591"/>
      <c r="Q2" s="591"/>
      <c r="R2" s="591"/>
      <c r="S2" s="591"/>
      <c r="T2" s="592"/>
      <c r="U2" s="25"/>
      <c r="V2" s="25"/>
      <c r="W2" s="25"/>
    </row>
    <row r="3" spans="1:252" ht="12.75" customHeight="1" x14ac:dyDescent="0.2"/>
    <row r="4" spans="1:252" s="72" customFormat="1" x14ac:dyDescent="0.2">
      <c r="A4" s="14" t="s">
        <v>130</v>
      </c>
      <c r="D4" s="14" t="s">
        <v>76</v>
      </c>
      <c r="E4" s="1"/>
      <c r="F4" s="1"/>
      <c r="G4" s="1"/>
      <c r="H4" s="73"/>
      <c r="I4" s="512"/>
      <c r="J4" s="1"/>
      <c r="K4" s="1"/>
      <c r="L4" s="1"/>
      <c r="M4" s="1"/>
      <c r="N4" s="1"/>
      <c r="O4" s="1"/>
      <c r="P4" s="1"/>
      <c r="Q4" s="1"/>
      <c r="R4" s="1"/>
      <c r="S4" s="162">
        <v>45211</v>
      </c>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row>
    <row r="5" spans="1:252" s="72" customFormat="1" ht="12" x14ac:dyDescent="0.2">
      <c r="B5" s="75">
        <v>2</v>
      </c>
      <c r="D5" s="14" t="s">
        <v>75</v>
      </c>
      <c r="E5" s="1"/>
      <c r="F5" s="1"/>
      <c r="G5" s="1"/>
      <c r="H5" s="519" t="s">
        <v>529</v>
      </c>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row>
    <row r="6" spans="1:252" ht="16.5" customHeight="1" x14ac:dyDescent="0.2">
      <c r="A6" s="472" t="s">
        <v>416</v>
      </c>
      <c r="B6" s="75"/>
      <c r="C6" s="72"/>
      <c r="D6" s="74"/>
      <c r="E6" s="74"/>
      <c r="F6" s="74"/>
      <c r="G6" s="72"/>
      <c r="H6" s="471" t="s">
        <v>417</v>
      </c>
    </row>
    <row r="7" spans="1:252" ht="20.25" customHeight="1" thickBot="1" x14ac:dyDescent="0.25">
      <c r="A7" s="72"/>
      <c r="B7" s="75"/>
      <c r="C7" s="72"/>
      <c r="D7" s="74"/>
      <c r="E7" s="74"/>
      <c r="F7" s="74"/>
      <c r="G7" s="72"/>
      <c r="H7" s="471" t="s">
        <v>418</v>
      </c>
    </row>
    <row r="8" spans="1:252" s="182" customFormat="1" ht="42" customHeight="1" x14ac:dyDescent="0.2">
      <c r="A8" s="572" t="str">
        <f>IF(B5=1,"Base Efficiency", "Existing Equipment                     (if operational)")</f>
        <v>Existing Equipment                     (if operational)</v>
      </c>
      <c r="B8" s="594"/>
      <c r="C8" s="595"/>
      <c r="D8" s="572" t="s">
        <v>525</v>
      </c>
      <c r="E8" s="573"/>
      <c r="F8" s="573"/>
      <c r="G8" s="573"/>
      <c r="H8" s="573"/>
      <c r="I8" s="573"/>
      <c r="J8" s="573"/>
      <c r="K8" s="573"/>
      <c r="L8" s="573"/>
      <c r="M8" s="573"/>
      <c r="N8" s="574"/>
      <c r="O8" s="575" t="s">
        <v>14</v>
      </c>
      <c r="P8" s="576"/>
      <c r="Q8" s="576"/>
      <c r="R8" s="576"/>
      <c r="S8" s="576"/>
      <c r="T8" s="577"/>
    </row>
    <row r="9" spans="1:252" s="165" customFormat="1" ht="20.100000000000001" customHeight="1" x14ac:dyDescent="0.2">
      <c r="A9" s="217" t="s">
        <v>15</v>
      </c>
      <c r="B9" s="218" t="s">
        <v>16</v>
      </c>
      <c r="C9" s="219" t="s">
        <v>17</v>
      </c>
      <c r="D9" s="220" t="s">
        <v>18</v>
      </c>
      <c r="E9" s="221" t="s">
        <v>19</v>
      </c>
      <c r="F9" s="221" t="s">
        <v>20</v>
      </c>
      <c r="G9" s="221" t="s">
        <v>21</v>
      </c>
      <c r="H9" s="221" t="s">
        <v>22</v>
      </c>
      <c r="I9" s="221" t="s">
        <v>23</v>
      </c>
      <c r="J9" s="221" t="s">
        <v>24</v>
      </c>
      <c r="K9" s="221" t="s">
        <v>25</v>
      </c>
      <c r="L9" s="221" t="s">
        <v>26</v>
      </c>
      <c r="M9" s="221" t="s">
        <v>27</v>
      </c>
      <c r="N9" s="222" t="s">
        <v>205</v>
      </c>
      <c r="O9" s="385" t="s">
        <v>28</v>
      </c>
      <c r="P9" s="221" t="s">
        <v>29</v>
      </c>
      <c r="Q9" s="221" t="s">
        <v>30</v>
      </c>
      <c r="R9" s="221" t="s">
        <v>31</v>
      </c>
      <c r="S9" s="221" t="s">
        <v>32</v>
      </c>
      <c r="T9" s="222" t="s">
        <v>33</v>
      </c>
    </row>
    <row r="10" spans="1:252" s="175" customFormat="1" ht="72.95" customHeight="1" thickBot="1" x14ac:dyDescent="0.25">
      <c r="A10" s="380" t="s">
        <v>191</v>
      </c>
      <c r="B10" s="336" t="str">
        <f>IF(B5=1, "Base Efficiency","Existing/Base SEER, IEER or EER")</f>
        <v>Existing/Base SEER, IEER or EER</v>
      </c>
      <c r="C10" s="381" t="s">
        <v>34</v>
      </c>
      <c r="D10" s="394" t="s">
        <v>192</v>
      </c>
      <c r="E10" s="395" t="s">
        <v>193</v>
      </c>
      <c r="F10" s="395" t="s">
        <v>194</v>
      </c>
      <c r="G10" s="395" t="s">
        <v>191</v>
      </c>
      <c r="H10" s="395" t="s">
        <v>195</v>
      </c>
      <c r="I10" s="395" t="s">
        <v>196</v>
      </c>
      <c r="J10" s="395" t="s">
        <v>526</v>
      </c>
      <c r="K10" s="395" t="s">
        <v>34</v>
      </c>
      <c r="L10" s="395" t="s">
        <v>197</v>
      </c>
      <c r="M10" s="395" t="s">
        <v>198</v>
      </c>
      <c r="N10" s="396" t="s">
        <v>243</v>
      </c>
      <c r="O10" s="394" t="s">
        <v>199</v>
      </c>
      <c r="P10" s="395" t="s">
        <v>200</v>
      </c>
      <c r="Q10" s="395" t="s">
        <v>201</v>
      </c>
      <c r="R10" s="395" t="s">
        <v>202</v>
      </c>
      <c r="S10" s="395" t="s">
        <v>203</v>
      </c>
      <c r="T10" s="396" t="s">
        <v>204</v>
      </c>
    </row>
    <row r="11" spans="1:252" s="11" customFormat="1" ht="24.95" customHeight="1" x14ac:dyDescent="0.2">
      <c r="A11" s="382"/>
      <c r="B11" s="383"/>
      <c r="C11" s="384"/>
      <c r="D11" s="388"/>
      <c r="E11" s="389"/>
      <c r="F11" s="389"/>
      <c r="G11" s="389"/>
      <c r="H11" s="390"/>
      <c r="I11" s="391" t="str">
        <f>IF(ISERROR(VLOOKUP($D11,$A$22:$L$40,8,FALSE)),"",VLOOKUP($D11,$A$22:$L$40,8,FALSE))</f>
        <v/>
      </c>
      <c r="J11" s="392"/>
      <c r="K11" s="389"/>
      <c r="L11" s="389"/>
      <c r="M11" s="393"/>
      <c r="N11" s="528"/>
      <c r="O11" s="386" t="str">
        <f t="shared" ref="O11:O17" si="0">IF(ISERROR(VLOOKUP($D11,$A$22:$L$40,10,FALSE)),"",VLOOKUP($D11,$A$22:$L$40,10,FALSE))</f>
        <v/>
      </c>
      <c r="P11" s="227" t="str">
        <f>IF(J11&lt;I11,0,IF(ISERROR(G11*K11*O11),"",(G11*K11*O11)))</f>
        <v/>
      </c>
      <c r="Q11" s="228" t="str">
        <f t="shared" ref="Q11:Q12" si="1">IF(D11="","",IF(J11-I11&lt;0,0,(J11-I11)))</f>
        <v/>
      </c>
      <c r="R11" s="227" t="str">
        <f t="shared" ref="R11:R12" si="2">IF(ISERROR(VLOOKUP(D11,$A$22:$L$40,11,FALSE)),"",VLOOKUP(D11,$A$22:$L$40,11,FALSE))</f>
        <v/>
      </c>
      <c r="S11" s="227" t="str">
        <f t="shared" ref="S11:S12" si="3">IF(ISERROR((Q11*R11)*(G11*K11)*10),"",((Q11*R11)*(G11*K11)*10))</f>
        <v/>
      </c>
      <c r="T11" s="523" t="str">
        <f t="shared" ref="T11:T12" si="4">IF(ISERROR(P11+S11),"",IF(P11+S11&gt;M11*0.5,M11*0.5,IF((P11+S11)&gt;M11,M11,(P11+S11))))</f>
        <v/>
      </c>
    </row>
    <row r="12" spans="1:252" s="11" customFormat="1" ht="24.95" customHeight="1" x14ac:dyDescent="0.2">
      <c r="A12" s="332"/>
      <c r="B12" s="191"/>
      <c r="C12" s="203"/>
      <c r="D12" s="388"/>
      <c r="E12" s="192"/>
      <c r="F12" s="192"/>
      <c r="G12" s="192"/>
      <c r="H12" s="193"/>
      <c r="I12" s="391" t="str">
        <f t="shared" ref="I12:I17" si="5">IF(ISERROR(VLOOKUP($D12,$A$22:$L$40,8,FALSE)),"",VLOOKUP($D12,$A$22:$L$40,8,FALSE))</f>
        <v/>
      </c>
      <c r="J12" s="194"/>
      <c r="K12" s="192"/>
      <c r="L12" s="192"/>
      <c r="M12" s="195"/>
      <c r="N12" s="529"/>
      <c r="O12" s="386" t="str">
        <f t="shared" si="0"/>
        <v/>
      </c>
      <c r="P12" s="227" t="str">
        <f t="shared" ref="P12" si="6">IF(J12&lt;I12,0,IF(ISERROR(G12*K12*O12),"",(G12*K12*O12)))</f>
        <v/>
      </c>
      <c r="Q12" s="228" t="str">
        <f t="shared" si="1"/>
        <v/>
      </c>
      <c r="R12" s="227" t="str">
        <f t="shared" si="2"/>
        <v/>
      </c>
      <c r="S12" s="227" t="str">
        <f t="shared" si="3"/>
        <v/>
      </c>
      <c r="T12" s="523" t="str">
        <f t="shared" si="4"/>
        <v/>
      </c>
    </row>
    <row r="13" spans="1:252" s="11" customFormat="1" ht="24.95" customHeight="1" x14ac:dyDescent="0.2">
      <c r="A13" s="332"/>
      <c r="B13" s="191"/>
      <c r="C13" s="203"/>
      <c r="D13" s="388"/>
      <c r="E13" s="192"/>
      <c r="F13" s="192"/>
      <c r="G13" s="192"/>
      <c r="H13" s="193"/>
      <c r="I13" s="391" t="str">
        <f t="shared" si="5"/>
        <v/>
      </c>
      <c r="J13" s="194"/>
      <c r="K13" s="192"/>
      <c r="L13" s="192"/>
      <c r="M13" s="195"/>
      <c r="N13" s="529"/>
      <c r="O13" s="386" t="str">
        <f t="shared" si="0"/>
        <v/>
      </c>
      <c r="P13" s="227" t="str">
        <f t="shared" ref="P13:P17" si="7">IF(J13&lt;I13,0,IF(ISERROR(G13*K13*O13),"",(G13*K13*O13)))</f>
        <v/>
      </c>
      <c r="Q13" s="228" t="str">
        <f t="shared" ref="Q13:Q17" si="8">IF(D13="","",IF(J13-I13&lt;0,0,(J13-I13)))</f>
        <v/>
      </c>
      <c r="R13" s="227" t="str">
        <f t="shared" ref="R13:R17" si="9">IF(ISERROR(VLOOKUP(D13,$A$22:$L$40,11,FALSE)),"",VLOOKUP(D13,$A$22:$L$40,11,FALSE))</f>
        <v/>
      </c>
      <c r="S13" s="227" t="str">
        <f t="shared" ref="S13:S17" si="10">IF(ISERROR((Q13*R13)*(G13*K13)*10),"",((Q13*R13)*(G13*K13)*10))</f>
        <v/>
      </c>
      <c r="T13" s="523" t="str">
        <f t="shared" ref="T13:T17" si="11">IF(ISERROR(P13+S13),"",IF(P13+S13&gt;M13*0.5,M13*0.5,IF((P13+S13)&gt;M13,M13,(P13+S13))))</f>
        <v/>
      </c>
    </row>
    <row r="14" spans="1:252" s="11" customFormat="1" ht="24.95" customHeight="1" x14ac:dyDescent="0.2">
      <c r="A14" s="332"/>
      <c r="B14" s="191"/>
      <c r="C14" s="203"/>
      <c r="D14" s="388"/>
      <c r="E14" s="192"/>
      <c r="F14" s="192"/>
      <c r="G14" s="192"/>
      <c r="H14" s="193"/>
      <c r="I14" s="391" t="str">
        <f t="shared" si="5"/>
        <v/>
      </c>
      <c r="J14" s="194"/>
      <c r="K14" s="192"/>
      <c r="L14" s="192"/>
      <c r="M14" s="195"/>
      <c r="N14" s="529"/>
      <c r="O14" s="386" t="str">
        <f t="shared" si="0"/>
        <v/>
      </c>
      <c r="P14" s="227" t="str">
        <f t="shared" si="7"/>
        <v/>
      </c>
      <c r="Q14" s="228" t="str">
        <f t="shared" si="8"/>
        <v/>
      </c>
      <c r="R14" s="227" t="str">
        <f t="shared" si="9"/>
        <v/>
      </c>
      <c r="S14" s="227" t="str">
        <f t="shared" si="10"/>
        <v/>
      </c>
      <c r="T14" s="523" t="str">
        <f t="shared" si="11"/>
        <v/>
      </c>
    </row>
    <row r="15" spans="1:252" s="11" customFormat="1" ht="24.95" customHeight="1" thickBot="1" x14ac:dyDescent="0.25">
      <c r="A15" s="332"/>
      <c r="B15" s="191"/>
      <c r="C15" s="203"/>
      <c r="D15" s="388"/>
      <c r="E15" s="192"/>
      <c r="F15" s="192"/>
      <c r="G15" s="192"/>
      <c r="H15" s="193"/>
      <c r="I15" s="391" t="str">
        <f t="shared" si="5"/>
        <v/>
      </c>
      <c r="J15" s="194"/>
      <c r="K15" s="192"/>
      <c r="L15" s="192"/>
      <c r="M15" s="195"/>
      <c r="N15" s="529"/>
      <c r="O15" s="386" t="str">
        <f t="shared" si="0"/>
        <v/>
      </c>
      <c r="P15" s="227" t="str">
        <f t="shared" si="7"/>
        <v/>
      </c>
      <c r="Q15" s="228" t="str">
        <f t="shared" si="8"/>
        <v/>
      </c>
      <c r="R15" s="227" t="str">
        <f t="shared" si="9"/>
        <v/>
      </c>
      <c r="S15" s="227" t="str">
        <f t="shared" si="10"/>
        <v/>
      </c>
      <c r="T15" s="524" t="str">
        <f t="shared" si="11"/>
        <v/>
      </c>
    </row>
    <row r="16" spans="1:252" s="11" customFormat="1" ht="24.95" customHeight="1" thickBot="1" x14ac:dyDescent="0.25">
      <c r="A16" s="332"/>
      <c r="B16" s="191"/>
      <c r="C16" s="203"/>
      <c r="D16" s="388"/>
      <c r="E16" s="192"/>
      <c r="F16" s="192"/>
      <c r="G16" s="192"/>
      <c r="H16" s="193"/>
      <c r="I16" s="391" t="str">
        <f t="shared" si="5"/>
        <v/>
      </c>
      <c r="J16" s="194"/>
      <c r="K16" s="192"/>
      <c r="L16" s="192"/>
      <c r="M16" s="195"/>
      <c r="N16" s="529"/>
      <c r="O16" s="386" t="str">
        <f t="shared" si="0"/>
        <v/>
      </c>
      <c r="P16" s="227" t="str">
        <f t="shared" si="7"/>
        <v/>
      </c>
      <c r="Q16" s="228" t="str">
        <f t="shared" si="8"/>
        <v/>
      </c>
      <c r="R16" s="227" t="str">
        <f t="shared" si="9"/>
        <v/>
      </c>
      <c r="S16" s="227" t="str">
        <f t="shared" si="10"/>
        <v/>
      </c>
      <c r="T16" s="524" t="str">
        <f t="shared" si="11"/>
        <v/>
      </c>
      <c r="X16" s="578" t="s">
        <v>207</v>
      </c>
      <c r="Y16" s="600"/>
    </row>
    <row r="17" spans="1:25" s="11" customFormat="1" ht="24.95" customHeight="1" thickBot="1" x14ac:dyDescent="0.25">
      <c r="A17" s="333"/>
      <c r="B17" s="204"/>
      <c r="C17" s="205"/>
      <c r="D17" s="207"/>
      <c r="E17" s="208"/>
      <c r="F17" s="208"/>
      <c r="G17" s="208"/>
      <c r="H17" s="209"/>
      <c r="I17" s="226" t="str">
        <f t="shared" si="5"/>
        <v/>
      </c>
      <c r="J17" s="210"/>
      <c r="K17" s="208"/>
      <c r="L17" s="208"/>
      <c r="M17" s="211"/>
      <c r="N17" s="530"/>
      <c r="O17" s="387" t="str">
        <f t="shared" si="0"/>
        <v/>
      </c>
      <c r="P17" s="229" t="str">
        <f t="shared" si="7"/>
        <v/>
      </c>
      <c r="Q17" s="230" t="str">
        <f t="shared" si="8"/>
        <v/>
      </c>
      <c r="R17" s="229" t="str">
        <f t="shared" si="9"/>
        <v/>
      </c>
      <c r="S17" s="229" t="str">
        <f t="shared" si="10"/>
        <v/>
      </c>
      <c r="T17" s="525" t="str">
        <f t="shared" si="11"/>
        <v/>
      </c>
      <c r="X17" s="334">
        <v>14.5</v>
      </c>
      <c r="Y17" s="488" t="s">
        <v>131</v>
      </c>
    </row>
    <row r="18" spans="1:25" s="11" customFormat="1" ht="28.5" customHeight="1" thickBot="1" x14ac:dyDescent="0.25">
      <c r="A18" s="405"/>
      <c r="H18" s="12"/>
      <c r="I18" s="13"/>
      <c r="Q18" s="601" t="s">
        <v>475</v>
      </c>
      <c r="R18" s="589"/>
      <c r="S18" s="12" t="s">
        <v>37</v>
      </c>
      <c r="T18" s="407">
        <f>SUM(T11:T17)</f>
        <v>0</v>
      </c>
      <c r="X18" s="368">
        <v>15.5</v>
      </c>
      <c r="Y18" s="489" t="s">
        <v>131</v>
      </c>
    </row>
    <row r="19" spans="1:25" s="9" customFormat="1" ht="8.25" customHeight="1" thickBot="1" x14ac:dyDescent="0.25">
      <c r="Q19" s="589"/>
      <c r="R19" s="589"/>
      <c r="X19" s="368">
        <v>13.9</v>
      </c>
      <c r="Y19" s="489" t="s">
        <v>251</v>
      </c>
    </row>
    <row r="20" spans="1:25" s="9" customFormat="1" ht="12.75" customHeight="1" thickBot="1" x14ac:dyDescent="0.25">
      <c r="A20" s="374" t="s">
        <v>524</v>
      </c>
      <c r="B20" s="375"/>
      <c r="C20" s="375"/>
      <c r="D20" s="375"/>
      <c r="E20" s="375"/>
      <c r="F20" s="375"/>
      <c r="G20" s="375"/>
      <c r="H20" s="375"/>
      <c r="I20" s="375"/>
      <c r="J20" s="375"/>
      <c r="K20" s="376"/>
      <c r="L20" s="376"/>
      <c r="M20" s="375"/>
      <c r="N20" s="522"/>
      <c r="O20"/>
      <c r="P20" s="496" t="s">
        <v>39</v>
      </c>
      <c r="Q20" s="497"/>
      <c r="R20" s="521"/>
      <c r="X20" s="327">
        <v>13.3</v>
      </c>
      <c r="Y20" s="489" t="s">
        <v>251</v>
      </c>
    </row>
    <row r="21" spans="1:25" s="10" customFormat="1" ht="34.5" customHeight="1" thickBot="1" x14ac:dyDescent="0.25">
      <c r="A21" s="398" t="s">
        <v>206</v>
      </c>
      <c r="B21" s="602" t="s">
        <v>41</v>
      </c>
      <c r="C21" s="583"/>
      <c r="D21" s="583"/>
      <c r="E21" s="583"/>
      <c r="F21" s="583"/>
      <c r="G21" s="584"/>
      <c r="H21" s="602" t="s">
        <v>207</v>
      </c>
      <c r="I21" s="584"/>
      <c r="J21" s="331" t="s">
        <v>208</v>
      </c>
      <c r="K21" s="603" t="s">
        <v>209</v>
      </c>
      <c r="L21" s="604"/>
      <c r="M21" s="605" t="s">
        <v>408</v>
      </c>
      <c r="N21" s="606"/>
      <c r="P21" s="581" t="s">
        <v>252</v>
      </c>
      <c r="Q21" s="582"/>
      <c r="R21" s="520" t="s">
        <v>276</v>
      </c>
      <c r="X21" s="368">
        <v>12.6</v>
      </c>
      <c r="Y21" s="489" t="s">
        <v>251</v>
      </c>
    </row>
    <row r="22" spans="1:25" s="9" customFormat="1" ht="15" customHeight="1" x14ac:dyDescent="0.2">
      <c r="A22" s="402" t="s">
        <v>480</v>
      </c>
      <c r="B22" s="323" t="s">
        <v>481</v>
      </c>
      <c r="C22" s="324"/>
      <c r="D22" s="324"/>
      <c r="E22" s="324"/>
      <c r="F22" s="324"/>
      <c r="G22" s="325"/>
      <c r="H22" s="373">
        <v>13.8</v>
      </c>
      <c r="I22" s="328" t="s">
        <v>522</v>
      </c>
      <c r="J22" s="372">
        <v>50</v>
      </c>
      <c r="K22" s="542">
        <v>5</v>
      </c>
      <c r="L22" s="543"/>
      <c r="M22" s="540" t="s">
        <v>534</v>
      </c>
      <c r="N22" s="541"/>
      <c r="P22" s="556" t="s">
        <v>231</v>
      </c>
      <c r="Q22" s="557"/>
      <c r="R22" s="378">
        <v>986</v>
      </c>
      <c r="X22" s="368">
        <v>10.5</v>
      </c>
      <c r="Y22" s="489" t="s">
        <v>251</v>
      </c>
    </row>
    <row r="23" spans="1:25" s="9" customFormat="1" ht="15" customHeight="1" thickBot="1" x14ac:dyDescent="0.25">
      <c r="A23" s="402" t="s">
        <v>482</v>
      </c>
      <c r="B23" s="323" t="s">
        <v>483</v>
      </c>
      <c r="C23" s="324"/>
      <c r="D23" s="324"/>
      <c r="E23" s="324"/>
      <c r="F23" s="324"/>
      <c r="G23" s="325"/>
      <c r="H23" s="373">
        <v>14.8</v>
      </c>
      <c r="I23" s="328" t="s">
        <v>522</v>
      </c>
      <c r="J23" s="372">
        <v>50</v>
      </c>
      <c r="K23" s="542">
        <v>5</v>
      </c>
      <c r="L23" s="543"/>
      <c r="M23" s="540" t="s">
        <v>535</v>
      </c>
      <c r="N23" s="541"/>
      <c r="P23" s="556" t="s">
        <v>143</v>
      </c>
      <c r="Q23" s="557"/>
      <c r="R23" s="378">
        <v>785</v>
      </c>
      <c r="X23" s="409">
        <v>15.5</v>
      </c>
      <c r="Y23" s="490" t="s">
        <v>251</v>
      </c>
    </row>
    <row r="24" spans="1:25" s="9" customFormat="1" ht="15" customHeight="1" x14ac:dyDescent="0.2">
      <c r="A24" s="402" t="s">
        <v>484</v>
      </c>
      <c r="B24" s="323" t="s">
        <v>485</v>
      </c>
      <c r="C24" s="324"/>
      <c r="D24" s="324"/>
      <c r="E24" s="324"/>
      <c r="F24" s="324"/>
      <c r="G24" s="325"/>
      <c r="H24" s="373">
        <v>13.9</v>
      </c>
      <c r="I24" s="328" t="s">
        <v>251</v>
      </c>
      <c r="J24" s="372">
        <v>50</v>
      </c>
      <c r="K24" s="542">
        <v>5</v>
      </c>
      <c r="L24" s="543"/>
      <c r="M24" s="540" t="s">
        <v>390</v>
      </c>
      <c r="N24" s="541"/>
      <c r="P24" s="556" t="s">
        <v>232</v>
      </c>
      <c r="Q24" s="557"/>
      <c r="R24" s="378">
        <v>408</v>
      </c>
      <c r="X24" s="435">
        <v>13</v>
      </c>
      <c r="Y24" s="491" t="s">
        <v>133</v>
      </c>
    </row>
    <row r="25" spans="1:25" s="9" customFormat="1" ht="15" customHeight="1" x14ac:dyDescent="0.2">
      <c r="A25" s="402" t="s">
        <v>486</v>
      </c>
      <c r="B25" s="323" t="s">
        <v>487</v>
      </c>
      <c r="C25" s="324"/>
      <c r="D25" s="324"/>
      <c r="E25" s="324"/>
      <c r="F25" s="324"/>
      <c r="G25" s="325"/>
      <c r="H25" s="373">
        <v>13.3</v>
      </c>
      <c r="I25" s="328" t="s">
        <v>251</v>
      </c>
      <c r="J25" s="372">
        <v>50</v>
      </c>
      <c r="K25" s="542">
        <v>5</v>
      </c>
      <c r="L25" s="543"/>
      <c r="M25" s="540" t="s">
        <v>488</v>
      </c>
      <c r="N25" s="541"/>
      <c r="P25" s="556" t="s">
        <v>233</v>
      </c>
      <c r="Q25" s="557"/>
      <c r="R25" s="378">
        <v>563</v>
      </c>
      <c r="X25" s="373">
        <f>15-(0.3*(G11*12000))</f>
        <v>15</v>
      </c>
      <c r="Y25" s="489"/>
    </row>
    <row r="26" spans="1:25" s="9" customFormat="1" ht="15" customHeight="1" x14ac:dyDescent="0.2">
      <c r="A26" s="402" t="s">
        <v>489</v>
      </c>
      <c r="B26" s="323" t="s">
        <v>490</v>
      </c>
      <c r="C26" s="324"/>
      <c r="D26" s="324"/>
      <c r="E26" s="324"/>
      <c r="F26" s="324"/>
      <c r="G26" s="325"/>
      <c r="H26" s="373">
        <v>12.6</v>
      </c>
      <c r="I26" s="328" t="s">
        <v>251</v>
      </c>
      <c r="J26" s="372">
        <v>50</v>
      </c>
      <c r="K26" s="542">
        <v>5</v>
      </c>
      <c r="L26" s="543"/>
      <c r="M26" s="540" t="s">
        <v>392</v>
      </c>
      <c r="N26" s="541"/>
      <c r="P26" s="556" t="s">
        <v>144</v>
      </c>
      <c r="Q26" s="557"/>
      <c r="R26" s="378">
        <v>865</v>
      </c>
      <c r="X26" s="327">
        <v>11.3</v>
      </c>
      <c r="Y26" s="489" t="s">
        <v>133</v>
      </c>
    </row>
    <row r="27" spans="1:25" s="9" customFormat="1" ht="15" customHeight="1" x14ac:dyDescent="0.2">
      <c r="A27" s="402" t="s">
        <v>491</v>
      </c>
      <c r="B27" s="323" t="s">
        <v>492</v>
      </c>
      <c r="C27" s="323"/>
      <c r="D27" s="323"/>
      <c r="E27" s="323"/>
      <c r="F27" s="323"/>
      <c r="G27" s="322"/>
      <c r="H27" s="513">
        <v>10.5</v>
      </c>
      <c r="I27" s="410" t="s">
        <v>251</v>
      </c>
      <c r="J27" s="411">
        <v>50</v>
      </c>
      <c r="K27" s="564">
        <v>5</v>
      </c>
      <c r="L27" s="569"/>
      <c r="M27" s="608" t="s">
        <v>393</v>
      </c>
      <c r="N27" s="609"/>
      <c r="P27" s="556" t="s">
        <v>145</v>
      </c>
      <c r="Q27" s="557"/>
      <c r="R27" s="378">
        <v>1298</v>
      </c>
      <c r="X27" s="409">
        <v>10.5</v>
      </c>
      <c r="Y27" s="490" t="s">
        <v>133</v>
      </c>
    </row>
    <row r="28" spans="1:25" s="9" customFormat="1" ht="15" customHeight="1" thickBot="1" x14ac:dyDescent="0.25">
      <c r="A28" s="436" t="s">
        <v>493</v>
      </c>
      <c r="B28" s="418" t="s">
        <v>494</v>
      </c>
      <c r="C28" s="418"/>
      <c r="D28" s="418"/>
      <c r="E28" s="418"/>
      <c r="F28" s="418"/>
      <c r="G28" s="419"/>
      <c r="H28" s="437">
        <v>15.5</v>
      </c>
      <c r="I28" s="421" t="s">
        <v>251</v>
      </c>
      <c r="J28" s="422">
        <v>50</v>
      </c>
      <c r="K28" s="610">
        <v>5</v>
      </c>
      <c r="L28" s="611"/>
      <c r="M28" s="544" t="s">
        <v>394</v>
      </c>
      <c r="N28" s="545"/>
      <c r="P28" s="556" t="s">
        <v>234</v>
      </c>
      <c r="Q28" s="557"/>
      <c r="R28" s="378">
        <v>754</v>
      </c>
      <c r="X28" s="373" t="s">
        <v>409</v>
      </c>
      <c r="Y28" s="489"/>
    </row>
    <row r="29" spans="1:25" s="171" customFormat="1" ht="15" customHeight="1" thickBot="1" x14ac:dyDescent="0.25">
      <c r="A29" s="408" t="s">
        <v>495</v>
      </c>
      <c r="B29" s="514" t="s">
        <v>496</v>
      </c>
      <c r="C29" s="427"/>
      <c r="D29" s="427"/>
      <c r="E29" s="427"/>
      <c r="F29" s="427"/>
      <c r="G29" s="515"/>
      <c r="H29" s="426">
        <v>12.7</v>
      </c>
      <c r="I29" s="330" t="s">
        <v>523</v>
      </c>
      <c r="J29" s="371">
        <v>50</v>
      </c>
      <c r="K29" s="546">
        <v>5</v>
      </c>
      <c r="L29" s="547"/>
      <c r="M29" s="612" t="s">
        <v>536</v>
      </c>
      <c r="N29" s="613"/>
      <c r="P29" s="556" t="s">
        <v>235</v>
      </c>
      <c r="Q29" s="557"/>
      <c r="R29" s="378">
        <v>589</v>
      </c>
      <c r="X29" s="437">
        <v>9.5</v>
      </c>
      <c r="Y29" s="492" t="s">
        <v>133</v>
      </c>
    </row>
    <row r="30" spans="1:25" s="171" customFormat="1" ht="15" customHeight="1" x14ac:dyDescent="0.2">
      <c r="A30" s="402" t="s">
        <v>497</v>
      </c>
      <c r="B30" s="323" t="s">
        <v>498</v>
      </c>
      <c r="C30" s="324"/>
      <c r="D30" s="324"/>
      <c r="E30" s="324"/>
      <c r="F30" s="324"/>
      <c r="G30" s="325"/>
      <c r="H30" s="373" t="s">
        <v>499</v>
      </c>
      <c r="I30" s="328"/>
      <c r="J30" s="372">
        <v>50</v>
      </c>
      <c r="K30" s="542">
        <v>5</v>
      </c>
      <c r="L30" s="543"/>
      <c r="M30" s="540" t="s">
        <v>537</v>
      </c>
      <c r="N30" s="541"/>
      <c r="O30" s="171">
        <f>14.3-(0.3*12000/1000)</f>
        <v>10.700000000000001</v>
      </c>
      <c r="P30" s="556" t="s">
        <v>236</v>
      </c>
      <c r="Q30" s="557"/>
      <c r="R30" s="378">
        <v>446</v>
      </c>
      <c r="X30" s="415">
        <v>13.3</v>
      </c>
      <c r="Y30" s="491" t="s">
        <v>133</v>
      </c>
    </row>
    <row r="31" spans="1:25" s="9" customFormat="1" ht="15" customHeight="1" x14ac:dyDescent="0.2">
      <c r="A31" s="402" t="s">
        <v>500</v>
      </c>
      <c r="B31" s="323" t="s">
        <v>501</v>
      </c>
      <c r="C31" s="324"/>
      <c r="D31" s="324"/>
      <c r="E31" s="324"/>
      <c r="F31" s="324"/>
      <c r="G31" s="325"/>
      <c r="H31" s="373">
        <v>10.8</v>
      </c>
      <c r="I31" s="328" t="s">
        <v>523</v>
      </c>
      <c r="J31" s="372">
        <v>50</v>
      </c>
      <c r="K31" s="542">
        <v>5</v>
      </c>
      <c r="L31" s="543"/>
      <c r="M31" s="540" t="s">
        <v>538</v>
      </c>
      <c r="N31" s="541"/>
      <c r="P31" s="556" t="s">
        <v>237</v>
      </c>
      <c r="Q31" s="557"/>
      <c r="R31" s="378">
        <v>651</v>
      </c>
      <c r="X31" s="558" t="s">
        <v>414</v>
      </c>
      <c r="Y31" s="607"/>
    </row>
    <row r="32" spans="1:25" s="9" customFormat="1" ht="15" customHeight="1" x14ac:dyDescent="0.2">
      <c r="A32" s="402" t="s">
        <v>502</v>
      </c>
      <c r="B32" s="323" t="s">
        <v>503</v>
      </c>
      <c r="C32" s="324"/>
      <c r="D32" s="324"/>
      <c r="E32" s="324"/>
      <c r="F32" s="324"/>
      <c r="G32" s="325"/>
      <c r="H32" s="518">
        <v>10</v>
      </c>
      <c r="I32" s="328" t="s">
        <v>523</v>
      </c>
      <c r="J32" s="372">
        <v>50</v>
      </c>
      <c r="K32" s="542">
        <v>5</v>
      </c>
      <c r="L32" s="543"/>
      <c r="M32" s="540" t="s">
        <v>539</v>
      </c>
      <c r="N32" s="541"/>
      <c r="P32" s="556" t="s">
        <v>238</v>
      </c>
      <c r="Q32" s="557"/>
      <c r="R32" s="378">
        <v>1263</v>
      </c>
      <c r="X32" s="426">
        <v>11.3</v>
      </c>
      <c r="Y32" s="488" t="s">
        <v>133</v>
      </c>
    </row>
    <row r="33" spans="1:25" s="9" customFormat="1" ht="15" customHeight="1" x14ac:dyDescent="0.2">
      <c r="A33" s="402" t="s">
        <v>504</v>
      </c>
      <c r="B33" s="323" t="s">
        <v>505</v>
      </c>
      <c r="C33" s="323"/>
      <c r="D33" s="323"/>
      <c r="E33" s="323"/>
      <c r="F33" s="323"/>
      <c r="G33" s="322"/>
      <c r="H33" s="513" t="s">
        <v>506</v>
      </c>
      <c r="I33" s="410"/>
      <c r="J33" s="411">
        <v>50</v>
      </c>
      <c r="K33" s="564">
        <v>5</v>
      </c>
      <c r="L33" s="569"/>
      <c r="M33" s="608" t="s">
        <v>540</v>
      </c>
      <c r="N33" s="609"/>
      <c r="O33" s="171">
        <f>11.4-(0.213*12000/1000)</f>
        <v>8.8440000000000012</v>
      </c>
      <c r="P33" s="510" t="s">
        <v>528</v>
      </c>
      <c r="Q33" s="511"/>
      <c r="R33" s="378">
        <v>729</v>
      </c>
      <c r="X33" s="373">
        <v>10.5</v>
      </c>
      <c r="Y33" s="489" t="s">
        <v>133</v>
      </c>
    </row>
    <row r="34" spans="1:25" s="9" customFormat="1" ht="15" customHeight="1" thickBot="1" x14ac:dyDescent="0.25">
      <c r="A34" s="436" t="s">
        <v>507</v>
      </c>
      <c r="B34" s="418" t="s">
        <v>508</v>
      </c>
      <c r="C34" s="418"/>
      <c r="D34" s="418"/>
      <c r="E34" s="418"/>
      <c r="F34" s="418"/>
      <c r="G34" s="419"/>
      <c r="H34" s="437">
        <v>9.1</v>
      </c>
      <c r="I34" s="421" t="s">
        <v>523</v>
      </c>
      <c r="J34" s="422">
        <v>50</v>
      </c>
      <c r="K34" s="610">
        <v>5</v>
      </c>
      <c r="L34" s="611"/>
      <c r="M34" s="544" t="s">
        <v>541</v>
      </c>
      <c r="N34" s="545"/>
      <c r="P34" s="556" t="s">
        <v>239</v>
      </c>
      <c r="Q34" s="557"/>
      <c r="R34" s="378">
        <v>652</v>
      </c>
      <c r="X34" s="558" t="s">
        <v>409</v>
      </c>
      <c r="Y34" s="607"/>
    </row>
    <row r="35" spans="1:25" s="9" customFormat="1" ht="15" customHeight="1" thickBot="1" x14ac:dyDescent="0.25">
      <c r="A35" s="408" t="s">
        <v>509</v>
      </c>
      <c r="B35" s="514" t="s">
        <v>510</v>
      </c>
      <c r="C35" s="427"/>
      <c r="D35" s="427"/>
      <c r="E35" s="427"/>
      <c r="F35" s="427"/>
      <c r="G35" s="515"/>
      <c r="H35" s="426">
        <v>12.7</v>
      </c>
      <c r="I35" s="330" t="s">
        <v>523</v>
      </c>
      <c r="J35" s="371">
        <v>50</v>
      </c>
      <c r="K35" s="546">
        <v>5</v>
      </c>
      <c r="L35" s="547"/>
      <c r="M35" s="612" t="s">
        <v>536</v>
      </c>
      <c r="N35" s="613"/>
      <c r="P35" s="556" t="s">
        <v>240</v>
      </c>
      <c r="Q35" s="557"/>
      <c r="R35" s="378">
        <v>686</v>
      </c>
      <c r="X35" s="420">
        <v>9.5</v>
      </c>
      <c r="Y35" s="492" t="s">
        <v>133</v>
      </c>
    </row>
    <row r="36" spans="1:25" s="9" customFormat="1" ht="15" customHeight="1" x14ac:dyDescent="0.2">
      <c r="A36" s="402" t="s">
        <v>511</v>
      </c>
      <c r="B36" s="323" t="s">
        <v>512</v>
      </c>
      <c r="C36" s="324"/>
      <c r="D36" s="324"/>
      <c r="E36" s="324"/>
      <c r="F36" s="324"/>
      <c r="G36" s="325"/>
      <c r="H36" s="373" t="s">
        <v>499</v>
      </c>
      <c r="I36" s="328"/>
      <c r="J36" s="372">
        <v>50</v>
      </c>
      <c r="K36" s="542">
        <v>5</v>
      </c>
      <c r="L36" s="543"/>
      <c r="M36" s="540" t="s">
        <v>537</v>
      </c>
      <c r="N36" s="541"/>
      <c r="O36" s="171">
        <f>14.3-(0.3*12000/1000)</f>
        <v>10.700000000000001</v>
      </c>
      <c r="P36" s="556" t="s">
        <v>241</v>
      </c>
      <c r="Q36" s="557"/>
      <c r="R36" s="378">
        <v>574</v>
      </c>
    </row>
    <row r="37" spans="1:25" s="9" customFormat="1" ht="15" customHeight="1" thickBot="1" x14ac:dyDescent="0.25">
      <c r="A37" s="402" t="s">
        <v>513</v>
      </c>
      <c r="B37" s="323" t="s">
        <v>514</v>
      </c>
      <c r="C37" s="324"/>
      <c r="D37" s="324"/>
      <c r="E37" s="324"/>
      <c r="F37" s="324"/>
      <c r="G37" s="325"/>
      <c r="H37" s="373">
        <v>10.8</v>
      </c>
      <c r="I37" s="328" t="s">
        <v>523</v>
      </c>
      <c r="J37" s="372">
        <v>50</v>
      </c>
      <c r="K37" s="542">
        <v>5</v>
      </c>
      <c r="L37" s="543"/>
      <c r="M37" s="540" t="s">
        <v>538</v>
      </c>
      <c r="N37" s="541"/>
      <c r="O37" s="171"/>
      <c r="P37" s="554" t="s">
        <v>242</v>
      </c>
      <c r="Q37" s="555"/>
      <c r="R37" s="379">
        <v>409</v>
      </c>
    </row>
    <row r="38" spans="1:25" s="9" customFormat="1" ht="15" customHeight="1" x14ac:dyDescent="0.2">
      <c r="A38" s="402" t="s">
        <v>515</v>
      </c>
      <c r="B38" s="323" t="s">
        <v>516</v>
      </c>
      <c r="C38" s="324"/>
      <c r="D38" s="324"/>
      <c r="E38" s="324"/>
      <c r="F38" s="324"/>
      <c r="G38" s="325"/>
      <c r="H38" s="373">
        <v>10</v>
      </c>
      <c r="I38" s="328" t="s">
        <v>523</v>
      </c>
      <c r="J38" s="372">
        <v>50</v>
      </c>
      <c r="K38" s="542">
        <v>5</v>
      </c>
      <c r="L38" s="543"/>
      <c r="M38" s="540" t="s">
        <v>542</v>
      </c>
      <c r="N38" s="541"/>
      <c r="P38"/>
      <c r="Q38"/>
    </row>
    <row r="39" spans="1:25" s="9" customFormat="1" ht="15" customHeight="1" x14ac:dyDescent="0.2">
      <c r="A39" s="402" t="s">
        <v>517</v>
      </c>
      <c r="B39" s="323" t="s">
        <v>518</v>
      </c>
      <c r="C39" s="324"/>
      <c r="D39" s="324"/>
      <c r="E39" s="324"/>
      <c r="F39" s="324"/>
      <c r="G39" s="325"/>
      <c r="H39" s="373" t="s">
        <v>506</v>
      </c>
      <c r="I39" s="328"/>
      <c r="J39" s="372">
        <v>50</v>
      </c>
      <c r="K39" s="542">
        <v>5</v>
      </c>
      <c r="L39" s="543"/>
      <c r="M39" s="540" t="s">
        <v>543</v>
      </c>
      <c r="N39" s="541"/>
      <c r="O39" s="171">
        <f>11.4-(0.213*12000/1000)</f>
        <v>8.8440000000000012</v>
      </c>
    </row>
    <row r="40" spans="1:25" s="9" customFormat="1" ht="15" customHeight="1" thickBot="1" x14ac:dyDescent="0.25">
      <c r="A40" s="436" t="s">
        <v>519</v>
      </c>
      <c r="B40" s="418" t="s">
        <v>520</v>
      </c>
      <c r="C40" s="418"/>
      <c r="D40" s="418"/>
      <c r="E40" s="418"/>
      <c r="F40" s="418"/>
      <c r="G40" s="419"/>
      <c r="H40" s="437">
        <v>9.1</v>
      </c>
      <c r="I40" s="421" t="s">
        <v>523</v>
      </c>
      <c r="J40" s="422">
        <v>50</v>
      </c>
      <c r="K40" s="552">
        <v>5</v>
      </c>
      <c r="L40" s="553"/>
      <c r="M40" s="544" t="s">
        <v>544</v>
      </c>
      <c r="N40" s="545"/>
      <c r="P40"/>
      <c r="Q40"/>
      <c r="R40"/>
    </row>
    <row r="41" spans="1:25" s="9" customFormat="1" ht="13.5" thickBot="1" x14ac:dyDescent="0.25">
      <c r="B41" s="94"/>
      <c r="C41" s="94"/>
      <c r="D41" s="94"/>
      <c r="E41" s="94"/>
      <c r="F41" s="94"/>
      <c r="G41" s="94"/>
      <c r="H41" s="94"/>
      <c r="I41" s="94"/>
      <c r="J41" s="94"/>
      <c r="K41" s="94"/>
      <c r="M41"/>
      <c r="N41"/>
      <c r="R41"/>
      <c r="S41"/>
      <c r="T41"/>
    </row>
    <row r="42" spans="1:25" ht="103.5" customHeight="1" x14ac:dyDescent="0.2">
      <c r="A42" s="614" t="s">
        <v>521</v>
      </c>
      <c r="B42" s="615"/>
      <c r="C42" s="615"/>
      <c r="D42" s="615"/>
      <c r="E42" s="615"/>
      <c r="F42" s="615"/>
      <c r="G42" s="615"/>
      <c r="H42" s="615"/>
      <c r="I42" s="615"/>
      <c r="J42" s="615"/>
      <c r="K42" s="615"/>
      <c r="L42" s="615"/>
      <c r="M42" s="615"/>
      <c r="N42" s="615"/>
    </row>
    <row r="43" spans="1:25" x14ac:dyDescent="0.2">
      <c r="A43" s="335" t="s">
        <v>255</v>
      </c>
      <c r="E43" s="64"/>
    </row>
    <row r="44" spans="1:25" x14ac:dyDescent="0.2">
      <c r="A44" s="66"/>
      <c r="E44" s="64"/>
    </row>
    <row r="45" spans="1:25" x14ac:dyDescent="0.2">
      <c r="A45" s="66"/>
      <c r="E45" s="64"/>
    </row>
    <row r="46" spans="1:25" x14ac:dyDescent="0.2">
      <c r="A46" s="66"/>
      <c r="E46" s="64"/>
    </row>
    <row r="47" spans="1:25" x14ac:dyDescent="0.2">
      <c r="A47" s="66"/>
      <c r="E47" s="64"/>
    </row>
    <row r="48" spans="1:25" x14ac:dyDescent="0.2">
      <c r="A48" s="66"/>
      <c r="E48" s="64"/>
    </row>
    <row r="49" spans="1:5" x14ac:dyDescent="0.2">
      <c r="A49" s="66"/>
      <c r="E49" s="64"/>
    </row>
    <row r="50" spans="1:5" x14ac:dyDescent="0.2">
      <c r="A50" s="66"/>
      <c r="E50" s="64"/>
    </row>
    <row r="51" spans="1:5" x14ac:dyDescent="0.2">
      <c r="A51" s="66"/>
      <c r="E51" s="64"/>
    </row>
    <row r="52" spans="1:5" x14ac:dyDescent="0.2">
      <c r="A52" s="66"/>
      <c r="E52" s="64"/>
    </row>
    <row r="53" spans="1:5" x14ac:dyDescent="0.2">
      <c r="A53" s="66"/>
      <c r="E53" s="64"/>
    </row>
    <row r="54" spans="1:5" x14ac:dyDescent="0.2">
      <c r="A54" s="66"/>
      <c r="E54" s="64"/>
    </row>
    <row r="55" spans="1:5" x14ac:dyDescent="0.2">
      <c r="A55" s="66"/>
      <c r="E55" s="64"/>
    </row>
    <row r="56" spans="1:5" x14ac:dyDescent="0.2">
      <c r="A56" s="66"/>
      <c r="E56" s="64"/>
    </row>
    <row r="57" spans="1:5" x14ac:dyDescent="0.2">
      <c r="A57" s="66"/>
      <c r="E57" s="64"/>
    </row>
    <row r="58" spans="1:5" x14ac:dyDescent="0.2">
      <c r="A58" s="66"/>
      <c r="E58" s="64"/>
    </row>
    <row r="59" spans="1:5" x14ac:dyDescent="0.2">
      <c r="A59" s="66"/>
      <c r="E59" s="64"/>
    </row>
    <row r="60" spans="1:5" x14ac:dyDescent="0.2">
      <c r="A60" s="66"/>
      <c r="E60" s="64"/>
    </row>
    <row r="61" spans="1:5" x14ac:dyDescent="0.2">
      <c r="A61" s="66"/>
      <c r="E61" s="64"/>
    </row>
    <row r="62" spans="1:5" x14ac:dyDescent="0.2">
      <c r="A62" s="66"/>
      <c r="E62" s="64"/>
    </row>
    <row r="63" spans="1:5" x14ac:dyDescent="0.2">
      <c r="A63" s="66"/>
      <c r="E63" s="64"/>
    </row>
    <row r="64" spans="1:5" x14ac:dyDescent="0.2">
      <c r="A64" s="66"/>
      <c r="E64" s="64"/>
    </row>
    <row r="65" spans="1:5" x14ac:dyDescent="0.2">
      <c r="A65" s="66"/>
      <c r="E65" s="64"/>
    </row>
    <row r="66" spans="1:5" x14ac:dyDescent="0.2">
      <c r="A66" s="66"/>
      <c r="E66" s="64"/>
    </row>
    <row r="67" spans="1:5" x14ac:dyDescent="0.2">
      <c r="A67" s="66"/>
      <c r="E67" s="64"/>
    </row>
    <row r="68" spans="1:5" x14ac:dyDescent="0.2">
      <c r="A68" s="65"/>
      <c r="E68" s="64"/>
    </row>
    <row r="69" spans="1:5" x14ac:dyDescent="0.2">
      <c r="E69" s="64"/>
    </row>
    <row r="70" spans="1:5" x14ac:dyDescent="0.2">
      <c r="E70" s="64"/>
    </row>
    <row r="71" spans="1:5" x14ac:dyDescent="0.2">
      <c r="E71" s="64"/>
    </row>
    <row r="72" spans="1:5" x14ac:dyDescent="0.2">
      <c r="E72" s="64"/>
    </row>
    <row r="73" spans="1:5" x14ac:dyDescent="0.2">
      <c r="E73" s="64"/>
    </row>
    <row r="74" spans="1:5" x14ac:dyDescent="0.2">
      <c r="E74" s="64"/>
    </row>
    <row r="75" spans="1:5" x14ac:dyDescent="0.2">
      <c r="E75" s="64"/>
    </row>
    <row r="76" spans="1:5" x14ac:dyDescent="0.2">
      <c r="E76" s="64"/>
    </row>
    <row r="77" spans="1:5" x14ac:dyDescent="0.2">
      <c r="E77" s="64"/>
    </row>
    <row r="78" spans="1:5" x14ac:dyDescent="0.2">
      <c r="E78" s="64"/>
    </row>
    <row r="79" spans="1:5" x14ac:dyDescent="0.2">
      <c r="E79" s="64"/>
    </row>
    <row r="80" spans="1:5" x14ac:dyDescent="0.2">
      <c r="E80" s="64"/>
    </row>
    <row r="81" spans="5:5" x14ac:dyDescent="0.2">
      <c r="E81" s="64"/>
    </row>
    <row r="82" spans="5:5" x14ac:dyDescent="0.2">
      <c r="E82" s="64"/>
    </row>
    <row r="83" spans="5:5" x14ac:dyDescent="0.2">
      <c r="E83" s="64"/>
    </row>
    <row r="84" spans="5:5" x14ac:dyDescent="0.2">
      <c r="E84" s="64"/>
    </row>
    <row r="85" spans="5:5" x14ac:dyDescent="0.2">
      <c r="E85" s="64"/>
    </row>
    <row r="86" spans="5:5" x14ac:dyDescent="0.2">
      <c r="E86" s="64"/>
    </row>
    <row r="87" spans="5:5" x14ac:dyDescent="0.2">
      <c r="E87" s="64"/>
    </row>
    <row r="88" spans="5:5" x14ac:dyDescent="0.2">
      <c r="E88" s="64"/>
    </row>
    <row r="89" spans="5:5" x14ac:dyDescent="0.2">
      <c r="E89" s="64"/>
    </row>
    <row r="90" spans="5:5" x14ac:dyDescent="0.2">
      <c r="E90" s="64"/>
    </row>
    <row r="91" spans="5:5" x14ac:dyDescent="0.2">
      <c r="E91" s="64"/>
    </row>
    <row r="92" spans="5:5" x14ac:dyDescent="0.2">
      <c r="E92" s="64"/>
    </row>
    <row r="93" spans="5:5" x14ac:dyDescent="0.2">
      <c r="E93" s="64"/>
    </row>
    <row r="94" spans="5:5" x14ac:dyDescent="0.2">
      <c r="E94" s="64"/>
    </row>
    <row r="95" spans="5:5" x14ac:dyDescent="0.2">
      <c r="E95" s="64"/>
    </row>
    <row r="96" spans="5:5" x14ac:dyDescent="0.2">
      <c r="E96" s="64"/>
    </row>
    <row r="97" spans="2:5" x14ac:dyDescent="0.2">
      <c r="E97" s="64"/>
    </row>
    <row r="98" spans="2:5" x14ac:dyDescent="0.2">
      <c r="E98" s="64"/>
    </row>
    <row r="99" spans="2:5" x14ac:dyDescent="0.2">
      <c r="E99" s="64"/>
    </row>
    <row r="100" spans="2:5" x14ac:dyDescent="0.2">
      <c r="E100" s="64"/>
    </row>
    <row r="101" spans="2:5" x14ac:dyDescent="0.2">
      <c r="E101" s="64"/>
    </row>
    <row r="102" spans="2:5" x14ac:dyDescent="0.2">
      <c r="E102" s="64"/>
    </row>
    <row r="103" spans="2:5" x14ac:dyDescent="0.2">
      <c r="E103" s="64"/>
    </row>
    <row r="104" spans="2:5" x14ac:dyDescent="0.2">
      <c r="E104" s="64"/>
    </row>
    <row r="105" spans="2:5" x14ac:dyDescent="0.2">
      <c r="E105" s="64"/>
    </row>
    <row r="106" spans="2:5" x14ac:dyDescent="0.2">
      <c r="E106" s="64"/>
    </row>
    <row r="107" spans="2:5" x14ac:dyDescent="0.2">
      <c r="E107" s="64"/>
    </row>
    <row r="108" spans="2:5" x14ac:dyDescent="0.2">
      <c r="E108" s="64"/>
    </row>
    <row r="109" spans="2:5" x14ac:dyDescent="0.2">
      <c r="E109" s="64"/>
    </row>
    <row r="110" spans="2:5" x14ac:dyDescent="0.2">
      <c r="E110" s="64"/>
    </row>
    <row r="111" spans="2:5" x14ac:dyDescent="0.2">
      <c r="E111" s="64"/>
    </row>
    <row r="112" spans="2:5" x14ac:dyDescent="0.2">
      <c r="B112" s="64"/>
      <c r="E112" s="64"/>
    </row>
    <row r="113" spans="5:5" x14ac:dyDescent="0.2">
      <c r="E113" s="64"/>
    </row>
    <row r="114" spans="5:5" x14ac:dyDescent="0.2">
      <c r="E114" s="64"/>
    </row>
  </sheetData>
  <sheetProtection selectLockedCells="1"/>
  <mergeCells count="67">
    <mergeCell ref="A42:N42"/>
    <mergeCell ref="K38:L38"/>
    <mergeCell ref="M38:N38"/>
    <mergeCell ref="K39:L39"/>
    <mergeCell ref="M39:N39"/>
    <mergeCell ref="K40:L40"/>
    <mergeCell ref="M40:N40"/>
    <mergeCell ref="K30:L30"/>
    <mergeCell ref="M30:N30"/>
    <mergeCell ref="K31:L31"/>
    <mergeCell ref="M31:N31"/>
    <mergeCell ref="M37:N37"/>
    <mergeCell ref="K32:L32"/>
    <mergeCell ref="M32:N32"/>
    <mergeCell ref="K33:L33"/>
    <mergeCell ref="M33:N33"/>
    <mergeCell ref="K34:L34"/>
    <mergeCell ref="M34:N34"/>
    <mergeCell ref="K35:L35"/>
    <mergeCell ref="M35:N35"/>
    <mergeCell ref="K36:L36"/>
    <mergeCell ref="M36:N36"/>
    <mergeCell ref="K37:L37"/>
    <mergeCell ref="K27:L27"/>
    <mergeCell ref="M27:N27"/>
    <mergeCell ref="K28:L28"/>
    <mergeCell ref="M28:N28"/>
    <mergeCell ref="K29:L29"/>
    <mergeCell ref="M29:N29"/>
    <mergeCell ref="K24:L24"/>
    <mergeCell ref="M24:N24"/>
    <mergeCell ref="K25:L25"/>
    <mergeCell ref="M25:N25"/>
    <mergeCell ref="K26:L26"/>
    <mergeCell ref="M26:N26"/>
    <mergeCell ref="P31:Q31"/>
    <mergeCell ref="K22:L22"/>
    <mergeCell ref="M22:N22"/>
    <mergeCell ref="P36:Q36"/>
    <mergeCell ref="P34:Q34"/>
    <mergeCell ref="P30:Q30"/>
    <mergeCell ref="P28:Q28"/>
    <mergeCell ref="P29:Q29"/>
    <mergeCell ref="P26:Q26"/>
    <mergeCell ref="P27:Q27"/>
    <mergeCell ref="P24:Q24"/>
    <mergeCell ref="P25:Q25"/>
    <mergeCell ref="P22:Q22"/>
    <mergeCell ref="P23:Q23"/>
    <mergeCell ref="K23:L23"/>
    <mergeCell ref="M23:N23"/>
    <mergeCell ref="P37:Q37"/>
    <mergeCell ref="X16:Y16"/>
    <mergeCell ref="Q18:R19"/>
    <mergeCell ref="P21:Q21"/>
    <mergeCell ref="A2:T2"/>
    <mergeCell ref="A8:C8"/>
    <mergeCell ref="D8:N8"/>
    <mergeCell ref="O8:T8"/>
    <mergeCell ref="B21:G21"/>
    <mergeCell ref="H21:I21"/>
    <mergeCell ref="K21:L21"/>
    <mergeCell ref="M21:N21"/>
    <mergeCell ref="X34:Y34"/>
    <mergeCell ref="P35:Q35"/>
    <mergeCell ref="X31:Y31"/>
    <mergeCell ref="P32:Q32"/>
  </mergeCells>
  <dataValidations count="6">
    <dataValidation allowBlank="1" showInputMessage="1" prompt="Use Baseline efficiency from the Yellow box in table 1 for New Construction and unknown Retrofit Efficiencies" sqref="B12:B17" xr:uid="{00000000-0002-0000-0300-000000000000}"/>
    <dataValidation type="whole" operator="greaterThanOrEqual" allowBlank="1" showErrorMessage="1" errorTitle="Invalid Quantity" error="Please enter the quantity of units -- a value equal to or greater than zero!" sqref="C11:C17" xr:uid="{00000000-0002-0000-0300-000001000000}">
      <formula1>0</formula1>
    </dataValidation>
    <dataValidation type="whole" operator="greaterThanOrEqual" allowBlank="1" showErrorMessage="1" errorTitle="Unit Quantity" error="Please enter a valid number of units!" sqref="K11:K17" xr:uid="{00000000-0002-0000-0300-000002000000}">
      <formula1>0</formula1>
    </dataValidation>
    <dataValidation type="decimal" operator="greaterThanOrEqual" allowBlank="1" showErrorMessage="1" errorTitle="Invalid Efficiency Rating" error="Unit SEER or EER must be equal or greater than Minimum Efficiency." sqref="J11:J17" xr:uid="{00000000-0002-0000-0300-000003000000}">
      <formula1>I11</formula1>
    </dataValidation>
    <dataValidation allowBlank="1" showInputMessage="1" prompt="Current equipment efficiencies should be used if replacing working equipment. If efficiencies are unknown, use Baseline efficiency from the Yellow box in table 1 for New Construction and unknown retrofit efficiencies" sqref="B11" xr:uid="{00000000-0002-0000-0300-000004000000}"/>
    <dataValidation type="list" allowBlank="1" showInputMessage="1" showErrorMessage="1" sqref="D11:D17" xr:uid="{00000000-0002-0000-0300-000005000000}">
      <formula1>$A$22:$A$40</formula1>
    </dataValidation>
  </dataValidations>
  <printOptions horizontalCentered="1"/>
  <pageMargins left="0.2" right="0" top="0" bottom="0" header="0" footer="0"/>
  <pageSetup scale="58" orientation="landscape" r:id="rId1"/>
  <headerFooter alignWithMargins="0"/>
  <colBreaks count="1" manualBreakCount="1">
    <brk id="15" max="44" man="1"/>
  </colBreaks>
  <drawing r:id="rId2"/>
  <legacyDrawing r:id="rId3"/>
  <mc:AlternateContent xmlns:mc="http://schemas.openxmlformats.org/markup-compatibility/2006">
    <mc:Choice Requires="x14">
      <controls>
        <mc:AlternateContent xmlns:mc="http://schemas.openxmlformats.org/markup-compatibility/2006">
          <mc:Choice Requires="x14">
            <control shapeId="787457" r:id="rId4" name="Option Button 1">
              <controlPr locked="0" defaultSize="0" autoFill="0" autoLine="0" autoPict="0">
                <anchor moveWithCells="1">
                  <from>
                    <xdr:col>2</xdr:col>
                    <xdr:colOff>47625</xdr:colOff>
                    <xdr:row>3</xdr:row>
                    <xdr:rowOff>0</xdr:rowOff>
                  </from>
                  <to>
                    <xdr:col>3</xdr:col>
                    <xdr:colOff>0</xdr:colOff>
                    <xdr:row>4</xdr:row>
                    <xdr:rowOff>57150</xdr:rowOff>
                  </to>
                </anchor>
              </controlPr>
            </control>
          </mc:Choice>
        </mc:AlternateContent>
        <mc:AlternateContent xmlns:mc="http://schemas.openxmlformats.org/markup-compatibility/2006">
          <mc:Choice Requires="x14">
            <control shapeId="787458" r:id="rId5" name="Option Button 2">
              <controlPr defaultSize="0" autoFill="0" autoLine="0" autoPict="0">
                <anchor moveWithCells="1">
                  <from>
                    <xdr:col>2</xdr:col>
                    <xdr:colOff>47625</xdr:colOff>
                    <xdr:row>3</xdr:row>
                    <xdr:rowOff>104775</xdr:rowOff>
                  </from>
                  <to>
                    <xdr:col>3</xdr:col>
                    <xdr:colOff>0</xdr:colOff>
                    <xdr:row>5</xdr:row>
                    <xdr:rowOff>9525</xdr:rowOff>
                  </to>
                </anchor>
              </controlPr>
            </control>
          </mc:Choice>
        </mc:AlternateContent>
        <mc:AlternateContent xmlns:mc="http://schemas.openxmlformats.org/markup-compatibility/2006">
          <mc:Choice Requires="x14">
            <control shapeId="787459" r:id="rId6" name="Option Button 3">
              <controlPr defaultSize="0" autoFill="0" autoLine="0" autoPict="0">
                <anchor moveWithCells="1">
                  <from>
                    <xdr:col>6</xdr:col>
                    <xdr:colOff>57150</xdr:colOff>
                    <xdr:row>4</xdr:row>
                    <xdr:rowOff>257175</xdr:rowOff>
                  </from>
                  <to>
                    <xdr:col>6</xdr:col>
                    <xdr:colOff>361950</xdr:colOff>
                    <xdr:row>6</xdr:row>
                    <xdr:rowOff>0</xdr:rowOff>
                  </to>
                </anchor>
              </controlPr>
            </control>
          </mc:Choice>
        </mc:AlternateContent>
        <mc:AlternateContent xmlns:mc="http://schemas.openxmlformats.org/markup-compatibility/2006">
          <mc:Choice Requires="x14">
            <control shapeId="787460" r:id="rId7" name="Option Button 4">
              <controlPr defaultSize="0" autoFill="0" autoLine="0" autoPict="0">
                <anchor moveWithCells="1">
                  <from>
                    <xdr:col>6</xdr:col>
                    <xdr:colOff>57150</xdr:colOff>
                    <xdr:row>5</xdr:row>
                    <xdr:rowOff>171450</xdr:rowOff>
                  </from>
                  <to>
                    <xdr:col>6</xdr:col>
                    <xdr:colOff>361950</xdr:colOff>
                    <xdr:row>6</xdr:row>
                    <xdr:rowOff>190500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AA55"/>
  <sheetViews>
    <sheetView zoomScale="80" zoomScaleNormal="80" workbookViewId="0">
      <selection activeCell="P36" sqref="P36:U36"/>
    </sheetView>
  </sheetViews>
  <sheetFormatPr defaultRowHeight="12.75" x14ac:dyDescent="0.2"/>
  <cols>
    <col min="1" max="1" width="8.140625" customWidth="1"/>
    <col min="2" max="2" width="12.28515625" customWidth="1"/>
    <col min="3" max="3" width="8" customWidth="1"/>
    <col min="4" max="4" width="10.7109375" customWidth="1"/>
    <col min="5" max="5" width="9.140625" customWidth="1"/>
    <col min="6" max="6" width="10.42578125" customWidth="1"/>
    <col min="7" max="7" width="16" bestFit="1" customWidth="1"/>
    <col min="8" max="8" width="16.7109375" customWidth="1"/>
    <col min="9" max="9" width="8" customWidth="1"/>
    <col min="10" max="13" width="8.7109375" customWidth="1"/>
    <col min="14" max="15" width="10.5703125" customWidth="1"/>
    <col min="16" max="16" width="12.7109375" customWidth="1"/>
    <col min="17" max="19" width="13.28515625" customWidth="1"/>
    <col min="20" max="20" width="12.42578125" customWidth="1"/>
    <col min="21" max="21" width="13.28515625" customWidth="1"/>
    <col min="22" max="22" width="14.28515625" customWidth="1"/>
  </cols>
  <sheetData>
    <row r="1" spans="1:25" ht="13.7" customHeight="1" thickBot="1" x14ac:dyDescent="0.25"/>
    <row r="2" spans="1:25" ht="21" customHeight="1" thickBot="1" x14ac:dyDescent="0.25">
      <c r="A2" s="359" t="s">
        <v>385</v>
      </c>
      <c r="B2" s="360"/>
      <c r="C2" s="360"/>
      <c r="D2" s="360"/>
      <c r="E2" s="360"/>
      <c r="F2" s="360"/>
      <c r="G2" s="360"/>
      <c r="H2" s="360"/>
      <c r="I2" s="360"/>
      <c r="J2" s="360"/>
      <c r="K2" s="360"/>
      <c r="L2" s="360"/>
      <c r="M2" s="360"/>
      <c r="N2" s="360"/>
      <c r="O2" s="360"/>
      <c r="P2" s="360"/>
      <c r="Q2" s="360"/>
      <c r="R2" s="360"/>
      <c r="S2" s="360"/>
      <c r="T2" s="360"/>
      <c r="U2" s="360"/>
      <c r="V2" s="361"/>
      <c r="W2" s="2"/>
      <c r="X2" s="2"/>
    </row>
    <row r="3" spans="1:25" ht="17.25" customHeight="1" x14ac:dyDescent="0.2">
      <c r="A3" s="14" t="s">
        <v>130</v>
      </c>
      <c r="B3" s="72"/>
      <c r="C3" s="72"/>
      <c r="D3" s="649" t="s">
        <v>76</v>
      </c>
      <c r="E3" s="649"/>
      <c r="F3" s="649"/>
    </row>
    <row r="4" spans="1:25" ht="12.75" customHeight="1" x14ac:dyDescent="0.2">
      <c r="A4" s="72"/>
      <c r="B4" s="75">
        <v>2</v>
      </c>
      <c r="C4" s="72"/>
      <c r="D4" s="649" t="s">
        <v>75</v>
      </c>
      <c r="E4" s="649"/>
      <c r="F4" s="649"/>
      <c r="U4" s="438">
        <v>43838</v>
      </c>
    </row>
    <row r="5" spans="1:25" ht="16.5" customHeight="1" x14ac:dyDescent="0.2">
      <c r="A5" s="472" t="s">
        <v>416</v>
      </c>
      <c r="B5" s="75"/>
      <c r="C5" s="72"/>
      <c r="D5" s="74"/>
      <c r="E5" s="72"/>
      <c r="F5" s="471" t="s">
        <v>417</v>
      </c>
    </row>
    <row r="6" spans="1:25" ht="20.25" customHeight="1" thickBot="1" x14ac:dyDescent="0.25">
      <c r="A6" s="72"/>
      <c r="B6" s="75"/>
      <c r="C6" s="72"/>
      <c r="D6" s="74"/>
      <c r="E6" s="72"/>
      <c r="F6" s="471" t="s">
        <v>418</v>
      </c>
    </row>
    <row r="7" spans="1:25" s="181" customFormat="1" ht="26.25" customHeight="1" thickBot="1" x14ac:dyDescent="0.25">
      <c r="A7" s="440"/>
      <c r="B7" s="653" t="str">
        <f>IF(B4=1,"Base Efficiency","EXISTING SYSTEM                            (if operational)")</f>
        <v>EXISTING SYSTEM                            (if operational)</v>
      </c>
      <c r="C7" s="654"/>
      <c r="D7" s="654"/>
      <c r="E7" s="654"/>
      <c r="F7" s="657" t="s">
        <v>13</v>
      </c>
      <c r="G7" s="658"/>
      <c r="H7" s="658"/>
      <c r="I7" s="658"/>
      <c r="J7" s="658"/>
      <c r="K7" s="658"/>
      <c r="L7" s="658"/>
      <c r="M7" s="658"/>
      <c r="N7" s="658"/>
      <c r="O7" s="658"/>
      <c r="P7" s="658"/>
      <c r="Q7" s="659"/>
      <c r="R7" s="657" t="s">
        <v>14</v>
      </c>
      <c r="S7" s="658"/>
      <c r="T7" s="658"/>
      <c r="U7" s="658"/>
      <c r="V7" s="659"/>
    </row>
    <row r="8" spans="1:25" ht="26.25" customHeight="1" x14ac:dyDescent="0.2">
      <c r="A8" s="231"/>
      <c r="B8" s="231" t="s">
        <v>15</v>
      </c>
      <c r="C8" s="232" t="s">
        <v>16</v>
      </c>
      <c r="D8" s="232" t="s">
        <v>17</v>
      </c>
      <c r="E8" s="233" t="s">
        <v>20</v>
      </c>
      <c r="F8" s="231" t="s">
        <v>21</v>
      </c>
      <c r="G8" s="232" t="s">
        <v>22</v>
      </c>
      <c r="H8" s="232" t="s">
        <v>23</v>
      </c>
      <c r="I8" s="232" t="s">
        <v>24</v>
      </c>
      <c r="J8" s="232" t="s">
        <v>25</v>
      </c>
      <c r="K8" s="232" t="s">
        <v>26</v>
      </c>
      <c r="L8" s="441" t="s">
        <v>27</v>
      </c>
      <c r="M8" s="232" t="s">
        <v>28</v>
      </c>
      <c r="N8" s="232" t="s">
        <v>29</v>
      </c>
      <c r="O8" s="232" t="s">
        <v>30</v>
      </c>
      <c r="P8" s="233" t="s">
        <v>31</v>
      </c>
      <c r="Q8" s="233" t="s">
        <v>32</v>
      </c>
      <c r="R8" s="231" t="s">
        <v>33</v>
      </c>
      <c r="S8" s="232" t="s">
        <v>215</v>
      </c>
      <c r="T8" s="232" t="s">
        <v>430</v>
      </c>
      <c r="U8" s="441" t="s">
        <v>431</v>
      </c>
      <c r="V8" s="234" t="s">
        <v>432</v>
      </c>
      <c r="W8" s="5"/>
      <c r="X8" s="5"/>
      <c r="Y8" s="5"/>
    </row>
    <row r="9" spans="1:25" s="10" customFormat="1" ht="81.95" customHeight="1" thickBot="1" x14ac:dyDescent="0.25">
      <c r="A9" s="449" t="s">
        <v>256</v>
      </c>
      <c r="B9" s="449" t="s">
        <v>210</v>
      </c>
      <c r="C9" s="336" t="s">
        <v>191</v>
      </c>
      <c r="D9" s="336" t="str">
        <f>IF(B4=1,"Base FLV, Must use base from Table 3","Existing kW/Ton")</f>
        <v>Existing kW/Ton</v>
      </c>
      <c r="E9" s="450" t="s">
        <v>34</v>
      </c>
      <c r="F9" s="449" t="s">
        <v>210</v>
      </c>
      <c r="G9" s="336" t="s">
        <v>211</v>
      </c>
      <c r="H9" s="336" t="s">
        <v>194</v>
      </c>
      <c r="I9" s="336" t="s">
        <v>214</v>
      </c>
      <c r="J9" s="336" t="s">
        <v>257</v>
      </c>
      <c r="K9" s="336" t="s">
        <v>258</v>
      </c>
      <c r="L9" s="336" t="s">
        <v>433</v>
      </c>
      <c r="M9" s="336" t="s">
        <v>260</v>
      </c>
      <c r="N9" s="336" t="s">
        <v>34</v>
      </c>
      <c r="O9" s="336" t="s">
        <v>212</v>
      </c>
      <c r="P9" s="450" t="s">
        <v>198</v>
      </c>
      <c r="Q9" s="337" t="s">
        <v>243</v>
      </c>
      <c r="R9" s="449" t="s">
        <v>213</v>
      </c>
      <c r="S9" s="336" t="s">
        <v>434</v>
      </c>
      <c r="T9" s="336" t="s">
        <v>425</v>
      </c>
      <c r="U9" s="337" t="s">
        <v>261</v>
      </c>
      <c r="V9" s="337" t="s">
        <v>435</v>
      </c>
      <c r="W9" s="178"/>
      <c r="X9" s="178"/>
      <c r="Y9" s="178"/>
    </row>
    <row r="10" spans="1:25" s="5" customFormat="1" ht="24.95" customHeight="1" thickBot="1" x14ac:dyDescent="0.25">
      <c r="A10" s="338"/>
      <c r="B10" s="342"/>
      <c r="C10" s="339"/>
      <c r="D10" s="340"/>
      <c r="E10" s="341"/>
      <c r="F10" s="342"/>
      <c r="G10" s="343"/>
      <c r="H10" s="339"/>
      <c r="I10" s="339"/>
      <c r="J10" s="476" t="str">
        <f t="shared" ref="J10:J19" si="0">IF(ISERROR(VLOOKUP($F10,$A$26:$N$43,7,FALSE)),"",VLOOKUP($F10,$A$26:$N$43,7,FALSE))</f>
        <v/>
      </c>
      <c r="K10" s="339"/>
      <c r="L10" s="485" t="str">
        <f t="shared" ref="L10:L19" si="1">IF(ISERROR(VLOOKUP($F10,$A$26:$N$43,8,FALSE)),"",VLOOKUP($F10,$A$26:$N$43,8,FALSE))</f>
        <v/>
      </c>
      <c r="M10" s="339"/>
      <c r="N10" s="344"/>
      <c r="O10" s="339"/>
      <c r="P10" s="468"/>
      <c r="Q10" s="451"/>
      <c r="R10" s="345" t="str">
        <f t="shared" ref="R10:R19" si="2">IF(ISERROR(VLOOKUP($F10,$A$26:$N$43,9,FALSE)),"",VLOOKUP($F10,$A$26:$N$43,9,FALSE))</f>
        <v/>
      </c>
      <c r="S10" s="346" t="str">
        <f t="shared" ref="S10:S19" si="3">IF(OR(M10&gt;L10,K10&gt;J10),0,IF(ISERROR(I10*N10*R10),"",(I10*N10*R10)))</f>
        <v/>
      </c>
      <c r="T10" s="346" t="str">
        <f t="shared" ref="T10:T19" si="4">IF(ISERROR(VLOOKUP($F10,$A$26:$N$43,12,FALSE)),"",VLOOKUP($F10,$A$26:$N$43,12,FALSE))</f>
        <v/>
      </c>
      <c r="U10" s="346" t="str">
        <f t="shared" ref="U10:U19" si="5">IF(ISERROR(((L10-M10)*I10*T10*N10)*100),"",((L10-M10)*I10*T10*N10)*100)</f>
        <v/>
      </c>
      <c r="V10" s="347" t="str">
        <f>IF(ISERROR(S10+U10),"",IF(S10+U10&gt;P10*0.5,P10*0.5,IF((S10+U10)&gt;P10,(IF(P10&gt;100000,100000,P10)),(IF((S10+U10)&gt;100000,100000,(S10+U10))))))</f>
        <v/>
      </c>
      <c r="W10" s="99"/>
      <c r="X10"/>
      <c r="Y10"/>
    </row>
    <row r="11" spans="1:25" s="5" customFormat="1" ht="24.95" customHeight="1" thickBot="1" x14ac:dyDescent="0.25">
      <c r="A11" s="236" t="str">
        <f t="shared" ref="A11:A19" si="6">RIGHT(F11,1)</f>
        <v/>
      </c>
      <c r="B11" s="214"/>
      <c r="C11" s="196"/>
      <c r="D11" s="197"/>
      <c r="E11" s="198"/>
      <c r="F11" s="214"/>
      <c r="G11" s="202"/>
      <c r="H11" s="196"/>
      <c r="I11" s="196"/>
      <c r="J11" s="479" t="str">
        <f t="shared" si="0"/>
        <v/>
      </c>
      <c r="K11" s="196"/>
      <c r="L11" s="486" t="str">
        <f t="shared" si="1"/>
        <v/>
      </c>
      <c r="M11" s="196"/>
      <c r="N11" s="212"/>
      <c r="O11" s="196"/>
      <c r="P11" s="469"/>
      <c r="Q11" s="357"/>
      <c r="R11" s="237" t="str">
        <f t="shared" si="2"/>
        <v/>
      </c>
      <c r="S11" s="238" t="str">
        <f t="shared" si="3"/>
        <v/>
      </c>
      <c r="T11" s="238" t="str">
        <f t="shared" si="4"/>
        <v/>
      </c>
      <c r="U11" s="238" t="str">
        <f t="shared" si="5"/>
        <v/>
      </c>
      <c r="V11" s="347" t="str">
        <f t="shared" ref="V11:V19" si="7">IF(ISERROR(S11+U11),"",IF(S11+U11&gt;P11*0.5,P11*0.5,IF((S11+U11)&gt;P11,(IF(P11&gt;100000,100000,P11)),(IF((S11+U11)&gt;100000,100000,(S11+U11))))))</f>
        <v/>
      </c>
      <c r="W11"/>
      <c r="X11"/>
      <c r="Y11"/>
    </row>
    <row r="12" spans="1:25" s="5" customFormat="1" ht="24.95" customHeight="1" thickBot="1" x14ac:dyDescent="0.25">
      <c r="A12" s="236" t="str">
        <f t="shared" si="6"/>
        <v/>
      </c>
      <c r="B12" s="214"/>
      <c r="C12" s="196"/>
      <c r="D12" s="197"/>
      <c r="E12" s="198"/>
      <c r="F12" s="214"/>
      <c r="G12" s="202"/>
      <c r="H12" s="196"/>
      <c r="I12" s="196"/>
      <c r="J12" s="479" t="str">
        <f t="shared" si="0"/>
        <v/>
      </c>
      <c r="K12" s="196"/>
      <c r="L12" s="486" t="str">
        <f t="shared" si="1"/>
        <v/>
      </c>
      <c r="M12" s="196"/>
      <c r="N12" s="212"/>
      <c r="O12" s="196"/>
      <c r="P12" s="469"/>
      <c r="Q12" s="357"/>
      <c r="R12" s="237" t="str">
        <f t="shared" si="2"/>
        <v/>
      </c>
      <c r="S12" s="238" t="str">
        <f t="shared" si="3"/>
        <v/>
      </c>
      <c r="T12" s="238" t="str">
        <f t="shared" si="4"/>
        <v/>
      </c>
      <c r="U12" s="238" t="str">
        <f t="shared" si="5"/>
        <v/>
      </c>
      <c r="V12" s="347" t="str">
        <f t="shared" si="7"/>
        <v/>
      </c>
      <c r="W12"/>
      <c r="X12"/>
      <c r="Y12"/>
    </row>
    <row r="13" spans="1:25" s="5" customFormat="1" ht="24.95" customHeight="1" thickBot="1" x14ac:dyDescent="0.25">
      <c r="A13" s="236" t="str">
        <f t="shared" si="6"/>
        <v/>
      </c>
      <c r="B13" s="214"/>
      <c r="C13" s="196"/>
      <c r="D13" s="197"/>
      <c r="E13" s="198"/>
      <c r="F13" s="214"/>
      <c r="G13" s="202"/>
      <c r="H13" s="196"/>
      <c r="I13" s="196"/>
      <c r="J13" s="479" t="str">
        <f t="shared" si="0"/>
        <v/>
      </c>
      <c r="K13" s="196"/>
      <c r="L13" s="486" t="str">
        <f t="shared" si="1"/>
        <v/>
      </c>
      <c r="M13" s="196"/>
      <c r="N13" s="212"/>
      <c r="O13" s="196"/>
      <c r="P13" s="469"/>
      <c r="Q13" s="357"/>
      <c r="R13" s="237" t="str">
        <f t="shared" si="2"/>
        <v/>
      </c>
      <c r="S13" s="238" t="str">
        <f t="shared" si="3"/>
        <v/>
      </c>
      <c r="T13" s="238" t="str">
        <f t="shared" si="4"/>
        <v/>
      </c>
      <c r="U13" s="238" t="str">
        <f t="shared" si="5"/>
        <v/>
      </c>
      <c r="V13" s="347" t="str">
        <f t="shared" si="7"/>
        <v/>
      </c>
      <c r="W13"/>
      <c r="X13"/>
      <c r="Y13"/>
    </row>
    <row r="14" spans="1:25" s="5" customFormat="1" ht="24.95" customHeight="1" thickBot="1" x14ac:dyDescent="0.25">
      <c r="A14" s="236" t="str">
        <f t="shared" si="6"/>
        <v/>
      </c>
      <c r="B14" s="214"/>
      <c r="C14" s="196"/>
      <c r="D14" s="197"/>
      <c r="E14" s="198"/>
      <c r="F14" s="214"/>
      <c r="G14" s="202"/>
      <c r="H14" s="196"/>
      <c r="I14" s="196"/>
      <c r="J14" s="479" t="str">
        <f t="shared" si="0"/>
        <v/>
      </c>
      <c r="K14" s="196"/>
      <c r="L14" s="486" t="str">
        <f t="shared" si="1"/>
        <v/>
      </c>
      <c r="M14" s="196"/>
      <c r="N14" s="212"/>
      <c r="O14" s="196"/>
      <c r="P14" s="469"/>
      <c r="Q14" s="357"/>
      <c r="R14" s="237" t="str">
        <f t="shared" si="2"/>
        <v/>
      </c>
      <c r="S14" s="238" t="str">
        <f t="shared" si="3"/>
        <v/>
      </c>
      <c r="T14" s="238" t="str">
        <f t="shared" si="4"/>
        <v/>
      </c>
      <c r="U14" s="238" t="str">
        <f t="shared" si="5"/>
        <v/>
      </c>
      <c r="V14" s="347" t="str">
        <f t="shared" si="7"/>
        <v/>
      </c>
      <c r="W14"/>
      <c r="X14"/>
      <c r="Y14"/>
    </row>
    <row r="15" spans="1:25" s="5" customFormat="1" ht="24.95" customHeight="1" thickBot="1" x14ac:dyDescent="0.25">
      <c r="A15" s="236" t="str">
        <f t="shared" si="6"/>
        <v/>
      </c>
      <c r="B15" s="214"/>
      <c r="C15" s="196"/>
      <c r="D15" s="197"/>
      <c r="E15" s="198"/>
      <c r="F15" s="214"/>
      <c r="G15" s="202"/>
      <c r="H15" s="196"/>
      <c r="I15" s="196"/>
      <c r="J15" s="479" t="str">
        <f t="shared" si="0"/>
        <v/>
      </c>
      <c r="K15" s="196"/>
      <c r="L15" s="486" t="str">
        <f t="shared" si="1"/>
        <v/>
      </c>
      <c r="M15" s="196"/>
      <c r="N15" s="212"/>
      <c r="O15" s="196"/>
      <c r="P15" s="469"/>
      <c r="Q15" s="357"/>
      <c r="R15" s="237" t="str">
        <f t="shared" si="2"/>
        <v/>
      </c>
      <c r="S15" s="238" t="str">
        <f t="shared" si="3"/>
        <v/>
      </c>
      <c r="T15" s="238" t="str">
        <f t="shared" si="4"/>
        <v/>
      </c>
      <c r="U15" s="238" t="str">
        <f t="shared" si="5"/>
        <v/>
      </c>
      <c r="V15" s="347" t="str">
        <f t="shared" si="7"/>
        <v/>
      </c>
      <c r="W15"/>
      <c r="X15"/>
      <c r="Y15"/>
    </row>
    <row r="16" spans="1:25" s="5" customFormat="1" ht="24.95" customHeight="1" thickBot="1" x14ac:dyDescent="0.25">
      <c r="A16" s="236" t="str">
        <f t="shared" si="6"/>
        <v/>
      </c>
      <c r="B16" s="214"/>
      <c r="C16" s="196"/>
      <c r="D16" s="197"/>
      <c r="E16" s="198"/>
      <c r="F16" s="214"/>
      <c r="G16" s="202"/>
      <c r="H16" s="196"/>
      <c r="I16" s="196"/>
      <c r="J16" s="479" t="str">
        <f t="shared" si="0"/>
        <v/>
      </c>
      <c r="K16" s="196"/>
      <c r="L16" s="486" t="str">
        <f t="shared" si="1"/>
        <v/>
      </c>
      <c r="M16" s="196"/>
      <c r="N16" s="212"/>
      <c r="O16" s="196"/>
      <c r="P16" s="469"/>
      <c r="Q16" s="357"/>
      <c r="R16" s="237" t="str">
        <f t="shared" si="2"/>
        <v/>
      </c>
      <c r="S16" s="238" t="str">
        <f t="shared" si="3"/>
        <v/>
      </c>
      <c r="T16" s="238" t="str">
        <f t="shared" si="4"/>
        <v/>
      </c>
      <c r="U16" s="238" t="str">
        <f t="shared" si="5"/>
        <v/>
      </c>
      <c r="V16" s="347" t="str">
        <f t="shared" si="7"/>
        <v/>
      </c>
      <c r="W16"/>
      <c r="X16"/>
      <c r="Y16"/>
    </row>
    <row r="17" spans="1:25" s="5" customFormat="1" ht="24.95" customHeight="1" thickBot="1" x14ac:dyDescent="0.25">
      <c r="A17" s="236" t="str">
        <f t="shared" si="6"/>
        <v/>
      </c>
      <c r="B17" s="214"/>
      <c r="C17" s="196"/>
      <c r="D17" s="197"/>
      <c r="E17" s="198"/>
      <c r="F17" s="214"/>
      <c r="G17" s="202"/>
      <c r="H17" s="196"/>
      <c r="I17" s="196"/>
      <c r="J17" s="479" t="str">
        <f t="shared" si="0"/>
        <v/>
      </c>
      <c r="K17" s="196"/>
      <c r="L17" s="486" t="str">
        <f t="shared" si="1"/>
        <v/>
      </c>
      <c r="M17" s="196"/>
      <c r="N17" s="212"/>
      <c r="O17" s="196"/>
      <c r="P17" s="469"/>
      <c r="Q17" s="357"/>
      <c r="R17" s="237" t="str">
        <f t="shared" si="2"/>
        <v/>
      </c>
      <c r="S17" s="238" t="str">
        <f t="shared" si="3"/>
        <v/>
      </c>
      <c r="T17" s="238" t="str">
        <f t="shared" si="4"/>
        <v/>
      </c>
      <c r="U17" s="238" t="str">
        <f t="shared" si="5"/>
        <v/>
      </c>
      <c r="V17" s="347" t="str">
        <f t="shared" si="7"/>
        <v/>
      </c>
      <c r="W17"/>
      <c r="X17"/>
      <c r="Y17"/>
    </row>
    <row r="18" spans="1:25" s="5" customFormat="1" ht="24.95" customHeight="1" thickBot="1" x14ac:dyDescent="0.25">
      <c r="A18" s="236" t="str">
        <f t="shared" si="6"/>
        <v/>
      </c>
      <c r="B18" s="214"/>
      <c r="C18" s="196"/>
      <c r="D18" s="197"/>
      <c r="E18" s="198"/>
      <c r="F18" s="214"/>
      <c r="G18" s="202"/>
      <c r="H18" s="196"/>
      <c r="I18" s="196"/>
      <c r="J18" s="479" t="str">
        <f t="shared" si="0"/>
        <v/>
      </c>
      <c r="K18" s="196"/>
      <c r="L18" s="486" t="str">
        <f t="shared" si="1"/>
        <v/>
      </c>
      <c r="M18" s="196"/>
      <c r="N18" s="212"/>
      <c r="O18" s="196"/>
      <c r="P18" s="469"/>
      <c r="Q18" s="357"/>
      <c r="R18" s="237" t="str">
        <f t="shared" si="2"/>
        <v/>
      </c>
      <c r="S18" s="238" t="str">
        <f t="shared" si="3"/>
        <v/>
      </c>
      <c r="T18" s="238" t="str">
        <f t="shared" si="4"/>
        <v/>
      </c>
      <c r="U18" s="238" t="str">
        <f t="shared" si="5"/>
        <v/>
      </c>
      <c r="V18" s="347" t="str">
        <f t="shared" si="7"/>
        <v/>
      </c>
      <c r="W18"/>
      <c r="X18"/>
      <c r="Y18"/>
    </row>
    <row r="19" spans="1:25" s="5" customFormat="1" ht="24.95" customHeight="1" thickBot="1" x14ac:dyDescent="0.25">
      <c r="A19" s="241" t="str">
        <f t="shared" si="6"/>
        <v/>
      </c>
      <c r="B19" s="215"/>
      <c r="C19" s="199"/>
      <c r="D19" s="200"/>
      <c r="E19" s="201"/>
      <c r="F19" s="215"/>
      <c r="G19" s="216"/>
      <c r="H19" s="199"/>
      <c r="I19" s="199"/>
      <c r="J19" s="482" t="str">
        <f t="shared" si="0"/>
        <v/>
      </c>
      <c r="K19" s="199"/>
      <c r="L19" s="487" t="str">
        <f t="shared" si="1"/>
        <v/>
      </c>
      <c r="M19" s="199"/>
      <c r="N19" s="213"/>
      <c r="O19" s="199"/>
      <c r="P19" s="470"/>
      <c r="Q19" s="358"/>
      <c r="R19" s="239" t="str">
        <f t="shared" si="2"/>
        <v/>
      </c>
      <c r="S19" s="240" t="str">
        <f t="shared" si="3"/>
        <v/>
      </c>
      <c r="T19" s="240" t="str">
        <f t="shared" si="4"/>
        <v/>
      </c>
      <c r="U19" s="240" t="str">
        <f t="shared" si="5"/>
        <v/>
      </c>
      <c r="V19" s="347" t="str">
        <f t="shared" si="7"/>
        <v/>
      </c>
      <c r="W19"/>
      <c r="X19"/>
      <c r="Y19"/>
    </row>
    <row r="20" spans="1:25" ht="24.75" customHeight="1" thickBot="1" x14ac:dyDescent="0.25">
      <c r="A20" s="15"/>
      <c r="I20" s="6"/>
      <c r="J20" s="16"/>
      <c r="Q20" s="5"/>
      <c r="R20" s="621" t="s">
        <v>475</v>
      </c>
      <c r="S20" s="622"/>
      <c r="T20" s="7" t="s">
        <v>37</v>
      </c>
      <c r="U20" s="626">
        <f>IF(SUM(V10:V19)&gt;100000,100000,SUM(V10:V19))</f>
        <v>0</v>
      </c>
      <c r="V20" s="627"/>
    </row>
    <row r="21" spans="1:25" ht="8.25" customHeight="1" x14ac:dyDescent="0.2">
      <c r="A21" s="177"/>
      <c r="B21" s="177"/>
      <c r="C21" s="177"/>
      <c r="D21" s="177"/>
      <c r="E21" s="177"/>
      <c r="F21" s="177"/>
      <c r="G21" s="177"/>
      <c r="H21" s="177"/>
      <c r="I21" s="177"/>
      <c r="J21" s="177"/>
      <c r="K21" s="177"/>
      <c r="L21" s="177"/>
      <c r="M21" s="177"/>
      <c r="N21" s="177"/>
      <c r="O21" s="177"/>
      <c r="P21" s="177"/>
      <c r="Q21" s="177"/>
      <c r="R21" s="623"/>
      <c r="S21" s="624"/>
      <c r="W21" s="1"/>
      <c r="X21" s="1"/>
      <c r="Y21" s="1"/>
    </row>
    <row r="22" spans="1:25" ht="8.25" customHeight="1" thickBot="1" x14ac:dyDescent="0.25">
      <c r="A22" s="177"/>
      <c r="B22" s="177"/>
      <c r="C22" s="177"/>
      <c r="D22" s="177"/>
      <c r="E22" s="177"/>
      <c r="F22" s="177"/>
      <c r="G22" s="177"/>
      <c r="H22" s="177"/>
      <c r="I22" s="177"/>
      <c r="J22" s="177"/>
      <c r="K22" s="177"/>
      <c r="L22" s="177"/>
      <c r="M22" s="177"/>
      <c r="N22" s="177"/>
      <c r="O22" s="177"/>
      <c r="P22" s="177"/>
      <c r="Q22" s="177"/>
      <c r="R22" s="177"/>
      <c r="S22" s="177"/>
      <c r="W22" s="1"/>
      <c r="X22" s="1"/>
      <c r="Y22" s="1"/>
    </row>
    <row r="23" spans="1:25" s="165" customFormat="1" ht="20.100000000000001" customHeight="1" thickBot="1" x14ac:dyDescent="0.25">
      <c r="A23" s="643" t="s">
        <v>46</v>
      </c>
      <c r="B23" s="644"/>
      <c r="C23" s="644"/>
      <c r="D23" s="644"/>
      <c r="E23" s="644"/>
      <c r="F23" s="644"/>
      <c r="G23" s="644"/>
      <c r="H23" s="644"/>
      <c r="I23" s="644"/>
      <c r="J23" s="644"/>
      <c r="K23" s="644"/>
      <c r="L23" s="644"/>
      <c r="M23" s="644"/>
      <c r="N23" s="645"/>
      <c r="P23" s="697" t="s">
        <v>183</v>
      </c>
      <c r="Q23" s="698"/>
      <c r="R23" s="698"/>
      <c r="S23" s="698"/>
      <c r="T23" s="698"/>
      <c r="U23" s="699"/>
      <c r="V23" s="7"/>
    </row>
    <row r="24" spans="1:25" ht="16.5" customHeight="1" thickBot="1" x14ac:dyDescent="0.25">
      <c r="A24" s="643" t="s">
        <v>275</v>
      </c>
      <c r="B24" s="644"/>
      <c r="C24" s="644"/>
      <c r="D24" s="644"/>
      <c r="E24" s="644"/>
      <c r="F24" s="644"/>
      <c r="G24" s="644"/>
      <c r="H24" s="644"/>
      <c r="I24" s="644"/>
      <c r="J24" s="644"/>
      <c r="K24" s="644"/>
      <c r="L24" s="644"/>
      <c r="M24" s="644"/>
      <c r="N24" s="645"/>
      <c r="O24" s="351"/>
      <c r="P24" s="628" t="s">
        <v>216</v>
      </c>
      <c r="Q24" s="629"/>
      <c r="R24" s="629"/>
      <c r="S24" s="629"/>
      <c r="T24" s="700" t="s">
        <v>276</v>
      </c>
      <c r="U24" s="701"/>
      <c r="V24" s="350"/>
      <c r="W24" s="1"/>
      <c r="X24" s="1"/>
    </row>
    <row r="25" spans="1:25" ht="14.1" customHeight="1" thickBot="1" x14ac:dyDescent="0.25">
      <c r="A25" s="354" t="s">
        <v>267</v>
      </c>
      <c r="B25" s="633" t="s">
        <v>266</v>
      </c>
      <c r="C25" s="634"/>
      <c r="D25" s="634"/>
      <c r="E25" s="634"/>
      <c r="F25" s="635"/>
      <c r="G25" s="355" t="s">
        <v>268</v>
      </c>
      <c r="H25" s="439" t="s">
        <v>269</v>
      </c>
      <c r="I25" s="646" t="s">
        <v>42</v>
      </c>
      <c r="J25" s="647"/>
      <c r="K25" s="648"/>
      <c r="L25" s="655" t="s">
        <v>270</v>
      </c>
      <c r="M25" s="647"/>
      <c r="N25" s="656"/>
      <c r="O25" s="352"/>
      <c r="P25" s="616" t="s">
        <v>231</v>
      </c>
      <c r="Q25" s="617"/>
      <c r="R25" s="617"/>
      <c r="S25" s="618"/>
      <c r="T25" s="619">
        <v>986</v>
      </c>
      <c r="U25" s="620"/>
      <c r="V25" s="85"/>
      <c r="W25" s="1"/>
      <c r="X25" s="1"/>
    </row>
    <row r="26" spans="1:25" ht="14.1" customHeight="1" x14ac:dyDescent="0.2">
      <c r="A26" s="353" t="s">
        <v>440</v>
      </c>
      <c r="B26" s="650" t="s">
        <v>274</v>
      </c>
      <c r="C26" s="651"/>
      <c r="D26" s="651"/>
      <c r="E26" s="651"/>
      <c r="F26" s="652"/>
      <c r="G26" s="473">
        <v>0.73</v>
      </c>
      <c r="H26" s="473">
        <v>0.57999999999999996</v>
      </c>
      <c r="I26" s="663">
        <v>15</v>
      </c>
      <c r="J26" s="664"/>
      <c r="K26" s="665"/>
      <c r="L26" s="660">
        <v>0</v>
      </c>
      <c r="M26" s="661"/>
      <c r="N26" s="662"/>
      <c r="O26" s="352"/>
      <c r="P26" s="616" t="s">
        <v>143</v>
      </c>
      <c r="Q26" s="617" t="s">
        <v>137</v>
      </c>
      <c r="R26" s="617"/>
      <c r="S26" s="618"/>
      <c r="T26" s="619">
        <v>785</v>
      </c>
      <c r="U26" s="620"/>
      <c r="V26" s="85"/>
    </row>
    <row r="27" spans="1:25" ht="14.1" customHeight="1" x14ac:dyDescent="0.2">
      <c r="A27" s="353" t="s">
        <v>441</v>
      </c>
      <c r="B27" s="636" t="s">
        <v>271</v>
      </c>
      <c r="C27" s="637"/>
      <c r="D27" s="637"/>
      <c r="E27" s="637"/>
      <c r="F27" s="638"/>
      <c r="G27" s="473">
        <v>0.72499999999999998</v>
      </c>
      <c r="H27" s="473">
        <v>0.56499999999999995</v>
      </c>
      <c r="I27" s="639">
        <v>15</v>
      </c>
      <c r="J27" s="640"/>
      <c r="K27" s="641"/>
      <c r="L27" s="685">
        <v>0</v>
      </c>
      <c r="M27" s="686"/>
      <c r="N27" s="687"/>
      <c r="O27" s="352"/>
      <c r="P27" s="616" t="s">
        <v>232</v>
      </c>
      <c r="Q27" s="617" t="s">
        <v>140</v>
      </c>
      <c r="R27" s="617"/>
      <c r="S27" s="618"/>
      <c r="T27" s="619">
        <v>408</v>
      </c>
      <c r="U27" s="620"/>
      <c r="V27" s="85"/>
    </row>
    <row r="28" spans="1:25" ht="14.1" customHeight="1" x14ac:dyDescent="0.2">
      <c r="A28" s="353" t="s">
        <v>442</v>
      </c>
      <c r="B28" s="636" t="s">
        <v>272</v>
      </c>
      <c r="C28" s="637"/>
      <c r="D28" s="637"/>
      <c r="E28" s="637"/>
      <c r="F28" s="638"/>
      <c r="G28" s="474">
        <v>0.63</v>
      </c>
      <c r="H28" s="474">
        <v>0.53</v>
      </c>
      <c r="I28" s="639">
        <v>15</v>
      </c>
      <c r="J28" s="640"/>
      <c r="K28" s="641"/>
      <c r="L28" s="666">
        <v>0</v>
      </c>
      <c r="M28" s="667"/>
      <c r="N28" s="668"/>
      <c r="O28" s="352"/>
      <c r="P28" s="616" t="s">
        <v>233</v>
      </c>
      <c r="Q28" s="617" t="s">
        <v>144</v>
      </c>
      <c r="R28" s="617"/>
      <c r="S28" s="618"/>
      <c r="T28" s="619">
        <v>563</v>
      </c>
      <c r="U28" s="620"/>
      <c r="V28" s="85"/>
    </row>
    <row r="29" spans="1:25" ht="14.1" customHeight="1" x14ac:dyDescent="0.2">
      <c r="A29" s="353" t="s">
        <v>443</v>
      </c>
      <c r="B29" s="636" t="s">
        <v>168</v>
      </c>
      <c r="C29" s="637"/>
      <c r="D29" s="637"/>
      <c r="E29" s="637"/>
      <c r="F29" s="638"/>
      <c r="G29" s="474">
        <v>0.56999999999999995</v>
      </c>
      <c r="H29" s="474">
        <v>0.49</v>
      </c>
      <c r="I29" s="639">
        <v>15</v>
      </c>
      <c r="J29" s="640"/>
      <c r="K29" s="641"/>
      <c r="L29" s="666">
        <v>0</v>
      </c>
      <c r="M29" s="667"/>
      <c r="N29" s="668"/>
      <c r="O29" s="352"/>
      <c r="P29" s="616" t="s">
        <v>144</v>
      </c>
      <c r="Q29" s="617" t="s">
        <v>145</v>
      </c>
      <c r="R29" s="617"/>
      <c r="S29" s="618"/>
      <c r="T29" s="619">
        <v>865</v>
      </c>
      <c r="U29" s="620"/>
      <c r="V29" s="85"/>
    </row>
    <row r="30" spans="1:25" ht="14.1" customHeight="1" x14ac:dyDescent="0.2">
      <c r="A30" s="353" t="s">
        <v>444</v>
      </c>
      <c r="B30" s="636" t="s">
        <v>65</v>
      </c>
      <c r="C30" s="637"/>
      <c r="D30" s="637"/>
      <c r="E30" s="637"/>
      <c r="F30" s="638"/>
      <c r="G30" s="474">
        <v>0.61799999999999999</v>
      </c>
      <c r="H30" s="474">
        <v>0.57599999999999996</v>
      </c>
      <c r="I30" s="639">
        <v>15</v>
      </c>
      <c r="J30" s="640"/>
      <c r="K30" s="641"/>
      <c r="L30" s="666">
        <v>0</v>
      </c>
      <c r="M30" s="667"/>
      <c r="N30" s="668"/>
      <c r="O30" s="352"/>
      <c r="P30" s="616" t="s">
        <v>145</v>
      </c>
      <c r="Q30" s="617"/>
      <c r="R30" s="617"/>
      <c r="S30" s="618"/>
      <c r="T30" s="619">
        <v>1298</v>
      </c>
      <c r="U30" s="620"/>
      <c r="V30" s="85"/>
    </row>
    <row r="31" spans="1:25" s="1" customFormat="1" ht="14.1" customHeight="1" x14ac:dyDescent="0.2">
      <c r="A31" s="353" t="s">
        <v>445</v>
      </c>
      <c r="B31" s="636" t="s">
        <v>273</v>
      </c>
      <c r="C31" s="637"/>
      <c r="D31" s="637"/>
      <c r="E31" s="637"/>
      <c r="F31" s="638"/>
      <c r="G31" s="474">
        <v>0.61799999999999999</v>
      </c>
      <c r="H31" s="474">
        <v>0.57599999999999996</v>
      </c>
      <c r="I31" s="639">
        <v>15</v>
      </c>
      <c r="J31" s="640"/>
      <c r="K31" s="641"/>
      <c r="L31" s="666">
        <v>0</v>
      </c>
      <c r="M31" s="667"/>
      <c r="N31" s="668"/>
      <c r="O31" s="177"/>
      <c r="P31" s="616" t="s">
        <v>234</v>
      </c>
      <c r="Q31" s="617"/>
      <c r="R31" s="617"/>
      <c r="S31" s="618"/>
      <c r="T31" s="619">
        <v>754</v>
      </c>
      <c r="U31" s="620"/>
      <c r="V31" s="85"/>
      <c r="W31"/>
      <c r="X31"/>
      <c r="Y31"/>
    </row>
    <row r="32" spans="1:25" s="1" customFormat="1" ht="14.1" customHeight="1" x14ac:dyDescent="0.2">
      <c r="A32" s="353" t="s">
        <v>446</v>
      </c>
      <c r="B32" s="680" t="s">
        <v>422</v>
      </c>
      <c r="C32" s="681"/>
      <c r="D32" s="681"/>
      <c r="E32" s="681"/>
      <c r="F32" s="682"/>
      <c r="G32" s="474">
        <v>0.56000000000000005</v>
      </c>
      <c r="H32" s="474">
        <v>0.52900000000000003</v>
      </c>
      <c r="I32" s="639">
        <v>15</v>
      </c>
      <c r="J32" s="683"/>
      <c r="K32" s="684"/>
      <c r="L32" s="677">
        <v>0</v>
      </c>
      <c r="M32" s="678"/>
      <c r="N32" s="679"/>
      <c r="O32" s="179"/>
      <c r="P32" s="616" t="s">
        <v>235</v>
      </c>
      <c r="Q32" s="617"/>
      <c r="R32" s="617"/>
      <c r="S32" s="618"/>
      <c r="T32" s="619">
        <v>589</v>
      </c>
      <c r="U32" s="620"/>
      <c r="V32" s="85"/>
      <c r="W32"/>
      <c r="X32"/>
      <c r="Y32"/>
    </row>
    <row r="33" spans="1:27" s="1" customFormat="1" ht="14.1" customHeight="1" thickBot="1" x14ac:dyDescent="0.25">
      <c r="A33" s="353" t="s">
        <v>447</v>
      </c>
      <c r="B33" s="671" t="s">
        <v>423</v>
      </c>
      <c r="C33" s="672"/>
      <c r="D33" s="672"/>
      <c r="E33" s="672"/>
      <c r="F33" s="673"/>
      <c r="G33" s="475">
        <v>0.55400000000000005</v>
      </c>
      <c r="H33" s="475">
        <v>0.51900000000000002</v>
      </c>
      <c r="I33" s="674">
        <v>15</v>
      </c>
      <c r="J33" s="675"/>
      <c r="K33" s="676"/>
      <c r="L33" s="677">
        <v>0</v>
      </c>
      <c r="M33" s="678"/>
      <c r="N33" s="679"/>
      <c r="O33" s="179"/>
      <c r="P33" s="616" t="s">
        <v>236</v>
      </c>
      <c r="Q33" s="617"/>
      <c r="R33" s="617"/>
      <c r="S33" s="618"/>
      <c r="T33" s="619">
        <v>446</v>
      </c>
      <c r="U33" s="620"/>
      <c r="V33" s="85"/>
      <c r="W33"/>
      <c r="X33"/>
      <c r="Y33"/>
      <c r="Z33"/>
    </row>
    <row r="34" spans="1:27" s="1" customFormat="1" ht="16.5" customHeight="1" thickBot="1" x14ac:dyDescent="0.25">
      <c r="A34" s="643" t="s">
        <v>277</v>
      </c>
      <c r="B34" s="644"/>
      <c r="C34" s="644"/>
      <c r="D34" s="644"/>
      <c r="E34" s="644"/>
      <c r="F34" s="644"/>
      <c r="G34" s="644"/>
      <c r="H34" s="644"/>
      <c r="I34" s="644"/>
      <c r="J34" s="644"/>
      <c r="K34" s="644"/>
      <c r="L34" s="644"/>
      <c r="M34" s="644"/>
      <c r="N34" s="645"/>
      <c r="O34" s="179"/>
      <c r="P34" s="616" t="s">
        <v>237</v>
      </c>
      <c r="Q34" s="617"/>
      <c r="R34" s="617"/>
      <c r="S34" s="618"/>
      <c r="T34" s="619">
        <v>651</v>
      </c>
      <c r="U34" s="620"/>
      <c r="V34" s="85"/>
      <c r="W34"/>
      <c r="X34"/>
      <c r="Y34"/>
      <c r="Z34"/>
      <c r="AA34"/>
    </row>
    <row r="35" spans="1:27" s="1" customFormat="1" ht="14.1" customHeight="1" thickBot="1" x14ac:dyDescent="0.25">
      <c r="A35" s="354" t="s">
        <v>267</v>
      </c>
      <c r="B35" s="633" t="s">
        <v>266</v>
      </c>
      <c r="C35" s="634"/>
      <c r="D35" s="634"/>
      <c r="E35" s="634"/>
      <c r="F35" s="635"/>
      <c r="G35" s="355" t="s">
        <v>268</v>
      </c>
      <c r="H35" s="439" t="s">
        <v>269</v>
      </c>
      <c r="I35" s="646" t="s">
        <v>42</v>
      </c>
      <c r="J35" s="647"/>
      <c r="K35" s="648"/>
      <c r="L35" s="655" t="s">
        <v>270</v>
      </c>
      <c r="M35" s="647"/>
      <c r="N35" s="656"/>
      <c r="O35" s="349"/>
      <c r="P35" s="616" t="s">
        <v>238</v>
      </c>
      <c r="Q35" s="617"/>
      <c r="R35" s="617"/>
      <c r="S35" s="618"/>
      <c r="T35" s="619">
        <v>1263</v>
      </c>
      <c r="U35" s="620"/>
      <c r="V35" s="85"/>
      <c r="W35"/>
      <c r="X35"/>
      <c r="Y35"/>
      <c r="Z35"/>
      <c r="AA35"/>
    </row>
    <row r="36" spans="1:27" ht="14.1" customHeight="1" x14ac:dyDescent="0.2">
      <c r="A36" s="353" t="s">
        <v>448</v>
      </c>
      <c r="B36" s="650" t="s">
        <v>274</v>
      </c>
      <c r="C36" s="651"/>
      <c r="D36" s="651"/>
      <c r="E36" s="651"/>
      <c r="F36" s="652"/>
      <c r="G36" s="473">
        <v>0.8</v>
      </c>
      <c r="H36" s="473">
        <v>0.55000000000000004</v>
      </c>
      <c r="I36" s="663">
        <v>15</v>
      </c>
      <c r="J36" s="664"/>
      <c r="K36" s="665"/>
      <c r="L36" s="669">
        <v>2</v>
      </c>
      <c r="M36" s="664"/>
      <c r="N36" s="670"/>
      <c r="O36" s="349"/>
      <c r="P36" s="616" t="s">
        <v>528</v>
      </c>
      <c r="Q36" s="617"/>
      <c r="R36" s="617"/>
      <c r="S36" s="618"/>
      <c r="T36" s="619">
        <v>729</v>
      </c>
      <c r="U36" s="620"/>
      <c r="V36" s="85"/>
    </row>
    <row r="37" spans="1:27" ht="14.1" customHeight="1" x14ac:dyDescent="0.2">
      <c r="A37" s="353" t="s">
        <v>449</v>
      </c>
      <c r="B37" s="636" t="s">
        <v>271</v>
      </c>
      <c r="C37" s="637"/>
      <c r="D37" s="637"/>
      <c r="E37" s="637"/>
      <c r="F37" s="638"/>
      <c r="G37" s="474">
        <v>0.79</v>
      </c>
      <c r="H37" s="474">
        <v>0.53600000000000003</v>
      </c>
      <c r="I37" s="639">
        <v>15</v>
      </c>
      <c r="J37" s="640"/>
      <c r="K37" s="641"/>
      <c r="L37" s="642">
        <v>2</v>
      </c>
      <c r="M37" s="640"/>
      <c r="N37" s="641"/>
      <c r="O37" s="177"/>
      <c r="P37" s="616" t="s">
        <v>239</v>
      </c>
      <c r="Q37" s="617"/>
      <c r="R37" s="617"/>
      <c r="S37" s="618"/>
      <c r="T37" s="619">
        <v>652</v>
      </c>
      <c r="U37" s="620"/>
      <c r="V37" s="85"/>
    </row>
    <row r="38" spans="1:27" ht="14.1" customHeight="1" x14ac:dyDescent="0.2">
      <c r="A38" s="353" t="s">
        <v>450</v>
      </c>
      <c r="B38" s="636" t="s">
        <v>272</v>
      </c>
      <c r="C38" s="637"/>
      <c r="D38" s="637"/>
      <c r="E38" s="637"/>
      <c r="F38" s="638"/>
      <c r="G38" s="474">
        <v>0.71799999999999997</v>
      </c>
      <c r="H38" s="474">
        <v>0.49</v>
      </c>
      <c r="I38" s="639">
        <v>15</v>
      </c>
      <c r="J38" s="640"/>
      <c r="K38" s="641"/>
      <c r="L38" s="642">
        <v>2</v>
      </c>
      <c r="M38" s="640"/>
      <c r="N38" s="641"/>
      <c r="P38" s="616" t="s">
        <v>240</v>
      </c>
      <c r="Q38" s="617"/>
      <c r="R38" s="617"/>
      <c r="S38" s="618"/>
      <c r="T38" s="619">
        <v>686</v>
      </c>
      <c r="U38" s="620"/>
      <c r="V38" s="85"/>
    </row>
    <row r="39" spans="1:27" ht="14.1" customHeight="1" x14ac:dyDescent="0.2">
      <c r="A39" s="353" t="s">
        <v>451</v>
      </c>
      <c r="B39" s="636" t="s">
        <v>168</v>
      </c>
      <c r="C39" s="637"/>
      <c r="D39" s="637"/>
      <c r="E39" s="637"/>
      <c r="F39" s="638"/>
      <c r="G39" s="474">
        <v>0.63900000000000001</v>
      </c>
      <c r="H39" s="474">
        <v>0.44</v>
      </c>
      <c r="I39" s="639">
        <v>15</v>
      </c>
      <c r="J39" s="640"/>
      <c r="K39" s="641"/>
      <c r="L39" s="642">
        <v>2</v>
      </c>
      <c r="M39" s="640"/>
      <c r="N39" s="641"/>
      <c r="P39" s="616" t="s">
        <v>241</v>
      </c>
      <c r="Q39" s="617"/>
      <c r="R39" s="617"/>
      <c r="S39" s="618"/>
      <c r="T39" s="693">
        <v>574</v>
      </c>
      <c r="U39" s="694"/>
      <c r="V39" s="85"/>
    </row>
    <row r="40" spans="1:27" ht="14.1" customHeight="1" thickBot="1" x14ac:dyDescent="0.25">
      <c r="A40" s="353" t="s">
        <v>452</v>
      </c>
      <c r="B40" s="636" t="s">
        <v>65</v>
      </c>
      <c r="C40" s="637"/>
      <c r="D40" s="637"/>
      <c r="E40" s="637"/>
      <c r="F40" s="638"/>
      <c r="G40" s="474">
        <v>0.63900000000000001</v>
      </c>
      <c r="H40" s="474">
        <v>0.43</v>
      </c>
      <c r="I40" s="639">
        <v>15</v>
      </c>
      <c r="J40" s="640"/>
      <c r="K40" s="641"/>
      <c r="L40" s="642">
        <v>2</v>
      </c>
      <c r="M40" s="640"/>
      <c r="N40" s="641"/>
      <c r="O40" s="177"/>
      <c r="P40" s="630" t="s">
        <v>242</v>
      </c>
      <c r="Q40" s="631"/>
      <c r="R40" s="631"/>
      <c r="S40" s="632"/>
      <c r="T40" s="695">
        <v>409</v>
      </c>
      <c r="U40" s="696"/>
    </row>
    <row r="41" spans="1:27" ht="14.1" customHeight="1" x14ac:dyDescent="0.2">
      <c r="A41" s="353" t="s">
        <v>453</v>
      </c>
      <c r="B41" s="636" t="s">
        <v>273</v>
      </c>
      <c r="C41" s="637"/>
      <c r="D41" s="637"/>
      <c r="E41" s="637"/>
      <c r="F41" s="638"/>
      <c r="G41" s="474">
        <v>0.63900000000000001</v>
      </c>
      <c r="H41" s="474">
        <v>0.43</v>
      </c>
      <c r="I41" s="639">
        <v>15</v>
      </c>
      <c r="J41" s="640"/>
      <c r="K41" s="641"/>
      <c r="L41" s="642">
        <v>2</v>
      </c>
      <c r="M41" s="640"/>
      <c r="N41" s="641"/>
      <c r="O41" s="177"/>
      <c r="P41" s="85"/>
      <c r="Q41" s="85"/>
      <c r="R41" s="85"/>
      <c r="S41" s="85"/>
      <c r="T41" s="85"/>
      <c r="U41" s="85"/>
    </row>
    <row r="42" spans="1:27" ht="14.1" customHeight="1" thickBot="1" x14ac:dyDescent="0.25">
      <c r="A42" s="353" t="s">
        <v>454</v>
      </c>
      <c r="B42" s="680" t="s">
        <v>424</v>
      </c>
      <c r="C42" s="681"/>
      <c r="D42" s="681"/>
      <c r="E42" s="681"/>
      <c r="F42" s="682"/>
      <c r="G42" s="474">
        <v>0.6</v>
      </c>
      <c r="H42" s="474">
        <v>0.38</v>
      </c>
      <c r="I42" s="639">
        <v>15</v>
      </c>
      <c r="J42" s="683"/>
      <c r="K42" s="684"/>
      <c r="L42" s="642">
        <v>2</v>
      </c>
      <c r="M42" s="705"/>
      <c r="N42" s="706"/>
      <c r="O42" s="177"/>
      <c r="P42" s="177"/>
      <c r="Q42" s="177"/>
      <c r="R42" s="177"/>
      <c r="S42" s="177"/>
      <c r="T42" s="1"/>
      <c r="U42" s="1"/>
    </row>
    <row r="43" spans="1:27" ht="14.1" customHeight="1" thickBot="1" x14ac:dyDescent="0.25">
      <c r="A43" s="356" t="s">
        <v>455</v>
      </c>
      <c r="B43" s="671" t="s">
        <v>423</v>
      </c>
      <c r="C43" s="672"/>
      <c r="D43" s="672"/>
      <c r="E43" s="672"/>
      <c r="F43" s="673"/>
      <c r="G43" s="475">
        <v>0.59</v>
      </c>
      <c r="H43" s="475">
        <v>0.38</v>
      </c>
      <c r="I43" s="674">
        <v>15</v>
      </c>
      <c r="J43" s="675"/>
      <c r="K43" s="676"/>
      <c r="L43" s="702">
        <v>2</v>
      </c>
      <c r="M43" s="703"/>
      <c r="N43" s="704"/>
      <c r="O43" s="177"/>
      <c r="P43" s="688" t="s">
        <v>265</v>
      </c>
      <c r="Q43" s="689"/>
      <c r="R43" s="689"/>
      <c r="S43" s="689"/>
      <c r="T43" s="689"/>
      <c r="U43" s="690"/>
    </row>
    <row r="44" spans="1:27" ht="14.1" customHeight="1" x14ac:dyDescent="0.2">
      <c r="A44" s="177"/>
      <c r="B44" s="177"/>
      <c r="C44" s="177"/>
      <c r="D44" s="177"/>
      <c r="E44" s="177"/>
      <c r="F44" s="177"/>
      <c r="G44" s="177"/>
      <c r="H44" s="177"/>
      <c r="I44" s="177"/>
      <c r="J44" s="177"/>
      <c r="K44" s="177"/>
      <c r="L44" s="177"/>
      <c r="M44" s="177"/>
      <c r="N44" s="177"/>
      <c r="P44" s="691" t="s">
        <v>263</v>
      </c>
      <c r="Q44" s="692"/>
      <c r="R44" s="619" t="s">
        <v>264</v>
      </c>
      <c r="S44" s="617"/>
      <c r="T44" s="617"/>
      <c r="U44" s="620"/>
    </row>
    <row r="45" spans="1:27" ht="14.1" customHeight="1" x14ac:dyDescent="0.2">
      <c r="A45" s="177" t="s">
        <v>426</v>
      </c>
      <c r="B45" s="177"/>
      <c r="C45" s="177"/>
      <c r="D45" s="177"/>
      <c r="E45" s="177"/>
      <c r="F45" s="177"/>
      <c r="G45" s="177"/>
      <c r="H45" s="177"/>
      <c r="I45" s="177"/>
      <c r="J45" s="177"/>
      <c r="K45" s="177"/>
      <c r="L45" s="177"/>
      <c r="M45" s="177"/>
      <c r="N45" s="179"/>
      <c r="P45" s="177"/>
      <c r="Q45" s="177"/>
      <c r="R45" s="177"/>
      <c r="S45" s="177"/>
    </row>
    <row r="46" spans="1:27" ht="14.1" customHeight="1" x14ac:dyDescent="0.2">
      <c r="A46" s="177"/>
      <c r="B46" s="177"/>
      <c r="C46" s="177"/>
      <c r="D46" s="177"/>
      <c r="E46" s="177"/>
      <c r="F46" s="177"/>
      <c r="G46" s="177"/>
      <c r="H46" s="177"/>
      <c r="I46" s="177"/>
      <c r="J46" s="177"/>
      <c r="K46" s="177"/>
      <c r="L46" s="177"/>
      <c r="M46" s="177"/>
      <c r="N46" s="179"/>
    </row>
    <row r="47" spans="1:27" ht="14.1" customHeight="1" x14ac:dyDescent="0.2">
      <c r="A47" s="442" t="s">
        <v>280</v>
      </c>
      <c r="B47" s="177"/>
      <c r="C47" s="177"/>
      <c r="D47" s="177"/>
      <c r="E47" s="177"/>
      <c r="F47" s="177"/>
      <c r="G47" s="177"/>
      <c r="H47" s="177"/>
      <c r="I47" s="177"/>
      <c r="J47" s="177"/>
      <c r="K47" s="177"/>
      <c r="L47" s="177"/>
      <c r="M47" s="177"/>
      <c r="N47" s="179"/>
    </row>
    <row r="48" spans="1:27" ht="14.1" customHeight="1" x14ac:dyDescent="0.2">
      <c r="A48" s="442"/>
      <c r="B48" s="177"/>
      <c r="C48" s="177"/>
      <c r="D48" s="177"/>
      <c r="E48" s="177"/>
      <c r="F48" s="177"/>
      <c r="G48" s="177"/>
      <c r="H48" s="177"/>
      <c r="I48" s="177"/>
      <c r="J48" s="177"/>
      <c r="K48" s="177"/>
      <c r="L48" s="177"/>
      <c r="M48" s="177"/>
      <c r="N48" s="179"/>
    </row>
    <row r="49" spans="1:14" ht="14.1" customHeight="1" x14ac:dyDescent="0.2">
      <c r="A49" s="180" t="s">
        <v>281</v>
      </c>
      <c r="B49" s="625" t="s">
        <v>282</v>
      </c>
      <c r="C49" s="625"/>
      <c r="D49" s="625"/>
      <c r="E49" s="625"/>
      <c r="F49" s="625"/>
      <c r="G49" s="625"/>
      <c r="H49" s="625"/>
      <c r="I49" s="625"/>
      <c r="J49" s="625"/>
      <c r="K49" s="625"/>
      <c r="L49" s="625"/>
      <c r="M49" s="625"/>
      <c r="N49" s="625"/>
    </row>
    <row r="50" spans="1:14" x14ac:dyDescent="0.2">
      <c r="B50" s="625"/>
      <c r="C50" s="625"/>
      <c r="D50" s="625"/>
      <c r="E50" s="625"/>
      <c r="F50" s="625"/>
      <c r="G50" s="625"/>
      <c r="H50" s="625"/>
      <c r="I50" s="625"/>
      <c r="J50" s="625"/>
      <c r="K50" s="625"/>
      <c r="L50" s="625"/>
      <c r="M50" s="625"/>
      <c r="N50" s="625"/>
    </row>
    <row r="51" spans="1:14" x14ac:dyDescent="0.2">
      <c r="B51" s="625"/>
      <c r="C51" s="625"/>
      <c r="D51" s="625"/>
      <c r="E51" s="625"/>
      <c r="F51" s="625"/>
      <c r="G51" s="625"/>
      <c r="H51" s="625"/>
      <c r="I51" s="625"/>
      <c r="J51" s="625"/>
      <c r="K51" s="625"/>
      <c r="L51" s="625"/>
      <c r="M51" s="625"/>
      <c r="N51" s="625"/>
    </row>
    <row r="52" spans="1:14" x14ac:dyDescent="0.2">
      <c r="B52" s="625"/>
      <c r="C52" s="625"/>
      <c r="D52" s="625"/>
      <c r="E52" s="625"/>
      <c r="F52" s="625"/>
      <c r="G52" s="625"/>
      <c r="H52" s="625"/>
      <c r="I52" s="625"/>
      <c r="J52" s="625"/>
      <c r="K52" s="625"/>
      <c r="L52" s="625"/>
      <c r="M52" s="625"/>
      <c r="N52" s="625"/>
    </row>
    <row r="54" spans="1:14" x14ac:dyDescent="0.2">
      <c r="B54" t="s">
        <v>220</v>
      </c>
    </row>
    <row r="55" spans="1:14" x14ac:dyDescent="0.2">
      <c r="B55" t="s">
        <v>221</v>
      </c>
    </row>
  </sheetData>
  <sheetProtection selectLockedCells="1"/>
  <mergeCells count="103">
    <mergeCell ref="I39:K39"/>
    <mergeCell ref="L39:N39"/>
    <mergeCell ref="B40:F40"/>
    <mergeCell ref="I40:K40"/>
    <mergeCell ref="L40:N40"/>
    <mergeCell ref="B39:F39"/>
    <mergeCell ref="B43:F43"/>
    <mergeCell ref="I43:K43"/>
    <mergeCell ref="L43:N43"/>
    <mergeCell ref="B41:F41"/>
    <mergeCell ref="I41:K41"/>
    <mergeCell ref="L41:N41"/>
    <mergeCell ref="B42:F42"/>
    <mergeCell ref="I42:K42"/>
    <mergeCell ref="L42:N42"/>
    <mergeCell ref="R7:V7"/>
    <mergeCell ref="P43:U43"/>
    <mergeCell ref="R44:U44"/>
    <mergeCell ref="P44:Q44"/>
    <mergeCell ref="T39:U39"/>
    <mergeCell ref="T32:U32"/>
    <mergeCell ref="T33:U33"/>
    <mergeCell ref="T34:U34"/>
    <mergeCell ref="T35:U35"/>
    <mergeCell ref="T37:U37"/>
    <mergeCell ref="T38:U38"/>
    <mergeCell ref="P28:S28"/>
    <mergeCell ref="P29:S29"/>
    <mergeCell ref="P30:S30"/>
    <mergeCell ref="P27:S27"/>
    <mergeCell ref="T40:U40"/>
    <mergeCell ref="T28:U28"/>
    <mergeCell ref="T29:U29"/>
    <mergeCell ref="T30:U30"/>
    <mergeCell ref="T31:U31"/>
    <mergeCell ref="P23:U23"/>
    <mergeCell ref="T24:U24"/>
    <mergeCell ref="T25:U25"/>
    <mergeCell ref="T26:U26"/>
    <mergeCell ref="T27:U27"/>
    <mergeCell ref="L35:N35"/>
    <mergeCell ref="I36:K36"/>
    <mergeCell ref="L36:N36"/>
    <mergeCell ref="B36:F36"/>
    <mergeCell ref="B33:F33"/>
    <mergeCell ref="I33:K33"/>
    <mergeCell ref="L33:N33"/>
    <mergeCell ref="B32:F32"/>
    <mergeCell ref="I32:K32"/>
    <mergeCell ref="L32:N32"/>
    <mergeCell ref="B29:F29"/>
    <mergeCell ref="B30:F30"/>
    <mergeCell ref="B31:F31"/>
    <mergeCell ref="B27:F27"/>
    <mergeCell ref="I29:K29"/>
    <mergeCell ref="I30:K30"/>
    <mergeCell ref="I31:K31"/>
    <mergeCell ref="L27:N27"/>
    <mergeCell ref="I27:K27"/>
    <mergeCell ref="I28:K28"/>
    <mergeCell ref="L28:N28"/>
    <mergeCell ref="L29:N29"/>
    <mergeCell ref="L30:N30"/>
    <mergeCell ref="A34:N34"/>
    <mergeCell ref="I35:K35"/>
    <mergeCell ref="D3:F3"/>
    <mergeCell ref="D4:F4"/>
    <mergeCell ref="B25:F25"/>
    <mergeCell ref="B26:F26"/>
    <mergeCell ref="B7:E7"/>
    <mergeCell ref="A23:N23"/>
    <mergeCell ref="A24:N24"/>
    <mergeCell ref="L25:N25"/>
    <mergeCell ref="I25:K25"/>
    <mergeCell ref="F7:Q7"/>
    <mergeCell ref="L26:N26"/>
    <mergeCell ref="I26:K26"/>
    <mergeCell ref="L31:N31"/>
    <mergeCell ref="B28:F28"/>
    <mergeCell ref="P36:S36"/>
    <mergeCell ref="T36:U36"/>
    <mergeCell ref="R20:S21"/>
    <mergeCell ref="B49:N52"/>
    <mergeCell ref="U20:V20"/>
    <mergeCell ref="P26:S26"/>
    <mergeCell ref="P24:S24"/>
    <mergeCell ref="P25:S25"/>
    <mergeCell ref="P40:S40"/>
    <mergeCell ref="P32:S32"/>
    <mergeCell ref="P33:S33"/>
    <mergeCell ref="P34:S34"/>
    <mergeCell ref="P38:S38"/>
    <mergeCell ref="P39:S39"/>
    <mergeCell ref="P37:S37"/>
    <mergeCell ref="P35:S35"/>
    <mergeCell ref="B35:F35"/>
    <mergeCell ref="B37:F37"/>
    <mergeCell ref="B38:F38"/>
    <mergeCell ref="I37:K37"/>
    <mergeCell ref="L37:N37"/>
    <mergeCell ref="I38:K38"/>
    <mergeCell ref="L38:N38"/>
    <mergeCell ref="P31:S31"/>
  </mergeCells>
  <dataValidations xWindow="202" yWindow="386" count="6">
    <dataValidation type="list" allowBlank="1" showInputMessage="1" showErrorMessage="1" prompt="Current equipment efficiencies should be used if replacing working equipment. If efficiencies are unknown, use baseline efficiency from  table 3 for new Construction and unknown retrofit efficiencies" sqref="D10" xr:uid="{00000000-0002-0000-0400-000000000000}">
      <formula1>kw_ton</formula1>
    </dataValidation>
    <dataValidation type="whole" operator="greaterThanOrEqual" allowBlank="1" showErrorMessage="1" errorTitle="Enter Quantity" error="Please enter the quantity of units - a value equal or greater than zero!" sqref="E10:E19" xr:uid="{00000000-0002-0000-0400-000001000000}">
      <formula1>0</formula1>
    </dataValidation>
    <dataValidation type="list" allowBlank="1" showInputMessage="1" showErrorMessage="1" sqref="D11:D19" xr:uid="{00000000-0002-0000-0400-000002000000}">
      <formula1>kw_ton</formula1>
    </dataValidation>
    <dataValidation type="list" allowBlank="1" showInputMessage="1" showErrorMessage="1" sqref="F10:F19 B10:B19" xr:uid="{00000000-0002-0000-0400-000003000000}">
      <formula1>Unit_Code_ChillersW</formula1>
    </dataValidation>
    <dataValidation type="decimal" operator="lessThanOrEqual" allowBlank="1" showInputMessage="1" showErrorMessage="1" errorTitle="Invalid Efficiency Rating" error="Rated FLV must be better than Min FLV" sqref="K10:K19" xr:uid="{00000000-0002-0000-0400-000004000000}">
      <formula1>J10</formula1>
    </dataValidation>
    <dataValidation type="decimal" operator="lessThanOrEqual" allowBlank="1" showInputMessage="1" showErrorMessage="1" errorTitle="Invalid Efficinecy Rating" error="Rated IPLV must be better than Min IPLV" sqref="M10:M19" xr:uid="{00000000-0002-0000-0400-000005000000}">
      <formula1>L10</formula1>
    </dataValidation>
  </dataValidations>
  <printOptions horizontalCentered="1"/>
  <pageMargins left="0.2" right="0.1" top="0.5" bottom="0.25" header="0.5" footer="0.5"/>
  <pageSetup scale="5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8433" r:id="rId4" name="Option Button 1">
              <controlPr defaultSize="0" autoFill="0" autoLine="0" autoPict="0">
                <anchor moveWithCells="1">
                  <from>
                    <xdr:col>2</xdr:col>
                    <xdr:colOff>57150</xdr:colOff>
                    <xdr:row>1</xdr:row>
                    <xdr:rowOff>257175</xdr:rowOff>
                  </from>
                  <to>
                    <xdr:col>2</xdr:col>
                    <xdr:colOff>361950</xdr:colOff>
                    <xdr:row>3</xdr:row>
                    <xdr:rowOff>0</xdr:rowOff>
                  </to>
                </anchor>
              </controlPr>
            </control>
          </mc:Choice>
        </mc:AlternateContent>
        <mc:AlternateContent xmlns:mc="http://schemas.openxmlformats.org/markup-compatibility/2006">
          <mc:Choice Requires="x14">
            <control shapeId="658434" r:id="rId5" name="Option Button 2">
              <controlPr defaultSize="0" autoFill="0" autoLine="0" autoPict="0">
                <anchor moveWithCells="1">
                  <from>
                    <xdr:col>2</xdr:col>
                    <xdr:colOff>57150</xdr:colOff>
                    <xdr:row>2</xdr:row>
                    <xdr:rowOff>171450</xdr:rowOff>
                  </from>
                  <to>
                    <xdr:col>2</xdr:col>
                    <xdr:colOff>361950</xdr:colOff>
                    <xdr:row>4</xdr:row>
                    <xdr:rowOff>28575</xdr:rowOff>
                  </to>
                </anchor>
              </controlPr>
            </control>
          </mc:Choice>
        </mc:AlternateContent>
        <mc:AlternateContent xmlns:mc="http://schemas.openxmlformats.org/markup-compatibility/2006">
          <mc:Choice Requires="x14">
            <control shapeId="658447" r:id="rId6" name="Option Button 15">
              <controlPr defaultSize="0" autoFill="0" autoLine="0" autoPict="0">
                <anchor moveWithCells="1">
                  <from>
                    <xdr:col>4</xdr:col>
                    <xdr:colOff>57150</xdr:colOff>
                    <xdr:row>3</xdr:row>
                    <xdr:rowOff>257175</xdr:rowOff>
                  </from>
                  <to>
                    <xdr:col>4</xdr:col>
                    <xdr:colOff>361950</xdr:colOff>
                    <xdr:row>5</xdr:row>
                    <xdr:rowOff>0</xdr:rowOff>
                  </to>
                </anchor>
              </controlPr>
            </control>
          </mc:Choice>
        </mc:AlternateContent>
        <mc:AlternateContent xmlns:mc="http://schemas.openxmlformats.org/markup-compatibility/2006">
          <mc:Choice Requires="x14">
            <control shapeId="658448" r:id="rId7" name="Option Button 16">
              <controlPr defaultSize="0" autoFill="0" autoLine="0" autoPict="0">
                <anchor moveWithCells="1">
                  <from>
                    <xdr:col>4</xdr:col>
                    <xdr:colOff>57150</xdr:colOff>
                    <xdr:row>4</xdr:row>
                    <xdr:rowOff>171450</xdr:rowOff>
                  </from>
                  <to>
                    <xdr:col>4</xdr:col>
                    <xdr:colOff>361950</xdr:colOff>
                    <xdr:row>5</xdr:row>
                    <xdr:rowOff>190500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pageSetUpPr fitToPage="1"/>
  </sheetPr>
  <dimension ref="A1:AB46"/>
  <sheetViews>
    <sheetView zoomScale="80" zoomScaleNormal="80" workbookViewId="0">
      <selection activeCell="Z36" sqref="Z36"/>
    </sheetView>
  </sheetViews>
  <sheetFormatPr defaultRowHeight="12.75" x14ac:dyDescent="0.2"/>
  <cols>
    <col min="1" max="1" width="8.140625" customWidth="1"/>
    <col min="2" max="2" width="12.28515625" customWidth="1"/>
    <col min="3" max="3" width="8" customWidth="1"/>
    <col min="4" max="4" width="10.7109375" customWidth="1"/>
    <col min="5" max="5" width="9.140625" customWidth="1"/>
    <col min="6" max="6" width="10.42578125" customWidth="1"/>
    <col min="7" max="8" width="16.7109375" customWidth="1"/>
    <col min="9" max="9" width="8" customWidth="1"/>
    <col min="10" max="13" width="8.7109375" customWidth="1"/>
    <col min="14" max="15" width="10.5703125" customWidth="1"/>
    <col min="16" max="16" width="12.7109375" customWidth="1"/>
    <col min="17" max="19" width="13.28515625" customWidth="1"/>
    <col min="20" max="20" width="12.42578125" customWidth="1"/>
    <col min="21" max="21" width="13.28515625" customWidth="1"/>
    <col min="22" max="22" width="14.28515625" customWidth="1"/>
  </cols>
  <sheetData>
    <row r="1" spans="1:28" ht="13.7" customHeight="1" thickBot="1" x14ac:dyDescent="0.25"/>
    <row r="2" spans="1:28" ht="21" customHeight="1" thickBot="1" x14ac:dyDescent="0.25">
      <c r="A2" s="365" t="s">
        <v>386</v>
      </c>
      <c r="B2" s="366"/>
      <c r="C2" s="366"/>
      <c r="D2" s="366"/>
      <c r="E2" s="366"/>
      <c r="F2" s="366"/>
      <c r="G2" s="366"/>
      <c r="H2" s="366"/>
      <c r="I2" s="366"/>
      <c r="J2" s="366"/>
      <c r="K2" s="366"/>
      <c r="L2" s="366"/>
      <c r="M2" s="366"/>
      <c r="N2" s="366"/>
      <c r="O2" s="366"/>
      <c r="P2" s="366"/>
      <c r="Q2" s="366"/>
      <c r="R2" s="366"/>
      <c r="S2" s="366"/>
      <c r="T2" s="366"/>
      <c r="U2" s="366"/>
      <c r="V2" s="367"/>
      <c r="W2" s="2"/>
      <c r="X2" s="2"/>
    </row>
    <row r="3" spans="1:28" ht="17.25" customHeight="1" x14ac:dyDescent="0.2">
      <c r="A3" s="14" t="s">
        <v>130</v>
      </c>
      <c r="B3" s="72"/>
      <c r="C3" s="72"/>
      <c r="D3" s="649" t="s">
        <v>76</v>
      </c>
      <c r="E3" s="649"/>
      <c r="F3" s="649"/>
    </row>
    <row r="4" spans="1:28" ht="12.75" customHeight="1" x14ac:dyDescent="0.2">
      <c r="A4" s="72"/>
      <c r="B4" s="75">
        <v>0</v>
      </c>
      <c r="C4" s="72"/>
      <c r="D4" s="649" t="s">
        <v>75</v>
      </c>
      <c r="E4" s="649"/>
      <c r="F4" s="649"/>
      <c r="U4" s="438">
        <v>43838</v>
      </c>
    </row>
    <row r="5" spans="1:28" ht="16.5" customHeight="1" x14ac:dyDescent="0.2">
      <c r="A5" s="472" t="s">
        <v>416</v>
      </c>
      <c r="B5" s="75"/>
      <c r="C5" s="72"/>
      <c r="D5" s="74"/>
      <c r="E5" s="74"/>
      <c r="F5" s="74"/>
      <c r="G5" s="72"/>
      <c r="H5" s="471" t="s">
        <v>417</v>
      </c>
    </row>
    <row r="6" spans="1:28" ht="20.25" customHeight="1" thickBot="1" x14ac:dyDescent="0.25">
      <c r="A6" s="72"/>
      <c r="B6" s="75"/>
      <c r="C6" s="72"/>
      <c r="D6" s="74"/>
      <c r="E6" s="74"/>
      <c r="F6" s="74"/>
      <c r="G6" s="72"/>
      <c r="H6" s="471" t="s">
        <v>418</v>
      </c>
    </row>
    <row r="7" spans="1:28" s="181" customFormat="1" ht="26.25" customHeight="1" thickBot="1" x14ac:dyDescent="0.25">
      <c r="A7" s="440"/>
      <c r="B7" s="572" t="str">
        <f>IF(B4=1,"Base Efficiency","EXISTING SYSTEM         (if operational)")</f>
        <v>EXISTING SYSTEM         (if operational)</v>
      </c>
      <c r="C7" s="573"/>
      <c r="D7" s="573"/>
      <c r="E7" s="714"/>
      <c r="F7" s="657" t="s">
        <v>13</v>
      </c>
      <c r="G7" s="658"/>
      <c r="H7" s="658"/>
      <c r="I7" s="658"/>
      <c r="J7" s="658"/>
      <c r="K7" s="658"/>
      <c r="L7" s="658"/>
      <c r="M7" s="658"/>
      <c r="N7" s="658"/>
      <c r="O7" s="658"/>
      <c r="P7" s="658"/>
      <c r="Q7" s="659"/>
      <c r="R7" s="362" t="s">
        <v>14</v>
      </c>
      <c r="S7" s="363"/>
      <c r="T7" s="363"/>
      <c r="U7" s="363"/>
      <c r="V7" s="364"/>
    </row>
    <row r="8" spans="1:28" ht="26.25" customHeight="1" x14ac:dyDescent="0.2">
      <c r="A8" s="231"/>
      <c r="B8" s="231" t="s">
        <v>15</v>
      </c>
      <c r="C8" s="232" t="s">
        <v>16</v>
      </c>
      <c r="D8" s="232" t="s">
        <v>17</v>
      </c>
      <c r="E8" s="233" t="s">
        <v>18</v>
      </c>
      <c r="F8" s="231" t="s">
        <v>19</v>
      </c>
      <c r="G8" s="232" t="s">
        <v>20</v>
      </c>
      <c r="H8" s="232" t="s">
        <v>21</v>
      </c>
      <c r="I8" s="232" t="s">
        <v>22</v>
      </c>
      <c r="J8" s="232" t="s">
        <v>23</v>
      </c>
      <c r="K8" s="232" t="s">
        <v>24</v>
      </c>
      <c r="L8" s="232" t="s">
        <v>25</v>
      </c>
      <c r="M8" s="232" t="s">
        <v>26</v>
      </c>
      <c r="N8" s="232" t="s">
        <v>27</v>
      </c>
      <c r="O8" s="232" t="s">
        <v>28</v>
      </c>
      <c r="P8" s="233" t="s">
        <v>29</v>
      </c>
      <c r="Q8" s="233"/>
      <c r="R8" s="231" t="s">
        <v>30</v>
      </c>
      <c r="S8" s="232" t="s">
        <v>31</v>
      </c>
      <c r="T8" s="232" t="s">
        <v>32</v>
      </c>
      <c r="U8" s="232" t="s">
        <v>33</v>
      </c>
      <c r="V8" s="232" t="s">
        <v>215</v>
      </c>
      <c r="X8" s="5"/>
      <c r="Y8" s="5"/>
      <c r="Z8" s="5"/>
      <c r="AA8" s="5"/>
      <c r="AB8" s="5"/>
    </row>
    <row r="9" spans="1:28" s="10" customFormat="1" ht="82.5" customHeight="1" thickBot="1" x14ac:dyDescent="0.25">
      <c r="A9" s="223" t="s">
        <v>256</v>
      </c>
      <c r="B9" s="223" t="s">
        <v>210</v>
      </c>
      <c r="C9" s="224" t="s">
        <v>191</v>
      </c>
      <c r="D9" s="224" t="str">
        <f>IF(B4=1,"Base FLV, Must use base from Table 3","Existing kW/Ton")</f>
        <v>Existing kW/Ton</v>
      </c>
      <c r="E9" s="235" t="s">
        <v>34</v>
      </c>
      <c r="F9" s="223" t="s">
        <v>210</v>
      </c>
      <c r="G9" s="224" t="s">
        <v>211</v>
      </c>
      <c r="H9" s="224" t="s">
        <v>194</v>
      </c>
      <c r="I9" s="224" t="s">
        <v>214</v>
      </c>
      <c r="J9" s="224" t="s">
        <v>257</v>
      </c>
      <c r="K9" s="224" t="s">
        <v>258</v>
      </c>
      <c r="L9" s="224" t="s">
        <v>259</v>
      </c>
      <c r="M9" s="224" t="s">
        <v>260</v>
      </c>
      <c r="N9" s="224" t="s">
        <v>34</v>
      </c>
      <c r="O9" s="224" t="s">
        <v>212</v>
      </c>
      <c r="P9" s="235" t="s">
        <v>198</v>
      </c>
      <c r="Q9" s="337" t="s">
        <v>243</v>
      </c>
      <c r="R9" s="223" t="s">
        <v>213</v>
      </c>
      <c r="S9" s="224" t="s">
        <v>217</v>
      </c>
      <c r="T9" s="224" t="s">
        <v>425</v>
      </c>
      <c r="U9" s="225" t="s">
        <v>261</v>
      </c>
      <c r="V9" s="225" t="s">
        <v>262</v>
      </c>
      <c r="W9" s="178"/>
      <c r="X9" s="178"/>
      <c r="Y9" s="178"/>
    </row>
    <row r="10" spans="1:28" s="5" customFormat="1" ht="24.95" customHeight="1" thickBot="1" x14ac:dyDescent="0.25">
      <c r="A10" s="236" t="str">
        <f>RIGHT(F10,1)</f>
        <v/>
      </c>
      <c r="B10" s="342"/>
      <c r="C10" s="339"/>
      <c r="D10" s="340"/>
      <c r="E10" s="341"/>
      <c r="F10" s="342"/>
      <c r="G10" s="343"/>
      <c r="H10" s="339"/>
      <c r="I10" s="339"/>
      <c r="J10" s="476" t="str">
        <f>IF(ISERROR(VLOOKUP($F10,$A$26:$N$31,7,FALSE)),"",VLOOKUP($F10,$A$26:$N$31,7,FALSE))</f>
        <v/>
      </c>
      <c r="K10" s="477"/>
      <c r="L10" s="478" t="str">
        <f>IF(ISERROR(VLOOKUP($F10,$A$26:$N$31,8,FALSE)),"",VLOOKUP($F10,$A$26:$N$31,8,FALSE))</f>
        <v/>
      </c>
      <c r="M10" s="477"/>
      <c r="N10" s="344"/>
      <c r="O10" s="339"/>
      <c r="P10" s="465"/>
      <c r="Q10" s="377"/>
      <c r="R10" s="345" t="str">
        <f t="shared" ref="R10:R19" si="0">IF(ISERROR(VLOOKUP($F10,$A$26:$N$31,9,FALSE)),"",VLOOKUP($F10,$A$26:$N$31,9,FALSE))</f>
        <v/>
      </c>
      <c r="S10" s="346" t="str">
        <f t="shared" ref="S10:S19" si="1">IF(OR(M10&lt;L10,K10&lt;J10),0,IF(ISERROR(I10*N10*R10),"",(I10*N10*R10)))</f>
        <v/>
      </c>
      <c r="T10" s="346" t="str">
        <f t="shared" ref="T10:T19" si="2">IF(ISERROR(VLOOKUP($F10,$A$26:$N$31,12,FALSE)),"",VLOOKUP($F10,$A$26:$N$31,12,FALSE))</f>
        <v/>
      </c>
      <c r="U10" s="346" t="str">
        <f>IF(ISERROR(((M10-L10)*I10*T10*N10)*10),"",((M10-L10)*I10*T10*N10)*10)</f>
        <v/>
      </c>
      <c r="V10" s="347" t="str">
        <f>IF(ISERROR(S10+U10),"",IF(U10&gt;P10*0.5,P10*0.5,IF((S10+U10)&gt;P10,(IF(P10&gt;100000,100000,P10)),(IF((S10+U10)&gt;100000,100000,(S10+U10))))))</f>
        <v/>
      </c>
      <c r="W10" s="99"/>
      <c r="X10"/>
      <c r="Y10"/>
    </row>
    <row r="11" spans="1:28" s="5" customFormat="1" ht="24.95" customHeight="1" thickBot="1" x14ac:dyDescent="0.25">
      <c r="A11" s="236" t="str">
        <f t="shared" ref="A11:A19" si="3">RIGHT(F11,1)</f>
        <v/>
      </c>
      <c r="B11" s="214"/>
      <c r="C11" s="196"/>
      <c r="D11" s="197"/>
      <c r="E11" s="198"/>
      <c r="F11" s="214"/>
      <c r="G11" s="202"/>
      <c r="H11" s="196"/>
      <c r="I11" s="196"/>
      <c r="J11" s="479" t="str">
        <f t="shared" ref="J11:J19" si="4">IF(ISERROR(VLOOKUP($F11,$A$26:$N$31,7,FALSE)),"",VLOOKUP($F11,$A$26:$N$31,7,FALSE))</f>
        <v/>
      </c>
      <c r="K11" s="480"/>
      <c r="L11" s="481" t="str">
        <f t="shared" ref="L11:L19" si="5">IF(ISERROR(VLOOKUP($F11,$A$26:$N$31,8,FALSE)),"",VLOOKUP($F11,$A$26:$N$31,8,FALSE))</f>
        <v/>
      </c>
      <c r="M11" s="480"/>
      <c r="N11" s="212"/>
      <c r="O11" s="196"/>
      <c r="P11" s="466"/>
      <c r="Q11" s="357"/>
      <c r="R11" s="237" t="str">
        <f t="shared" si="0"/>
        <v/>
      </c>
      <c r="S11" s="238" t="str">
        <f t="shared" si="1"/>
        <v/>
      </c>
      <c r="T11" s="238" t="str">
        <f t="shared" si="2"/>
        <v/>
      </c>
      <c r="U11" s="238" t="str">
        <f t="shared" ref="U11:U19" si="6">IF(ISERROR(((M11-L11)*I11*T11*N11)*10),"",((M11-L11)*I11*T11*N11)*10)</f>
        <v/>
      </c>
      <c r="V11" s="347" t="str">
        <f t="shared" ref="V11:V19" si="7">IF(ISERROR(S11+U11),"",IF(U11&gt;P11*0.5,P11*0.5,IF((S11+U11)&gt;P11,(IF(P11&gt;100000,100000,P11)),(IF((S11+U11)&gt;100000,100000,(S11+U11))))))</f>
        <v/>
      </c>
      <c r="W11"/>
      <c r="X11"/>
      <c r="Y11"/>
    </row>
    <row r="12" spans="1:28" s="5" customFormat="1" ht="24.95" customHeight="1" thickBot="1" x14ac:dyDescent="0.25">
      <c r="A12" s="236" t="str">
        <f t="shared" si="3"/>
        <v/>
      </c>
      <c r="B12" s="214"/>
      <c r="C12" s="196"/>
      <c r="D12" s="197"/>
      <c r="E12" s="198"/>
      <c r="F12" s="214"/>
      <c r="G12" s="202"/>
      <c r="H12" s="196"/>
      <c r="I12" s="196"/>
      <c r="J12" s="479" t="str">
        <f t="shared" si="4"/>
        <v/>
      </c>
      <c r="K12" s="480"/>
      <c r="L12" s="481" t="str">
        <f t="shared" si="5"/>
        <v/>
      </c>
      <c r="M12" s="480"/>
      <c r="N12" s="212"/>
      <c r="O12" s="196"/>
      <c r="P12" s="466"/>
      <c r="Q12" s="357"/>
      <c r="R12" s="237" t="str">
        <f t="shared" si="0"/>
        <v/>
      </c>
      <c r="S12" s="238" t="str">
        <f t="shared" si="1"/>
        <v/>
      </c>
      <c r="T12" s="238" t="str">
        <f t="shared" si="2"/>
        <v/>
      </c>
      <c r="U12" s="238" t="str">
        <f t="shared" si="6"/>
        <v/>
      </c>
      <c r="V12" s="347" t="str">
        <f t="shared" si="7"/>
        <v/>
      </c>
      <c r="W12"/>
      <c r="X12"/>
      <c r="Y12"/>
    </row>
    <row r="13" spans="1:28" s="5" customFormat="1" ht="24.95" customHeight="1" thickBot="1" x14ac:dyDescent="0.25">
      <c r="A13" s="236" t="str">
        <f t="shared" si="3"/>
        <v/>
      </c>
      <c r="B13" s="214"/>
      <c r="C13" s="196"/>
      <c r="D13" s="197"/>
      <c r="E13" s="198"/>
      <c r="F13" s="214"/>
      <c r="G13" s="202"/>
      <c r="H13" s="196"/>
      <c r="I13" s="196"/>
      <c r="J13" s="479" t="str">
        <f t="shared" si="4"/>
        <v/>
      </c>
      <c r="K13" s="480"/>
      <c r="L13" s="481" t="str">
        <f t="shared" si="5"/>
        <v/>
      </c>
      <c r="M13" s="480"/>
      <c r="N13" s="212"/>
      <c r="O13" s="196"/>
      <c r="P13" s="466"/>
      <c r="Q13" s="357"/>
      <c r="R13" s="237" t="str">
        <f t="shared" si="0"/>
        <v/>
      </c>
      <c r="S13" s="238" t="str">
        <f t="shared" si="1"/>
        <v/>
      </c>
      <c r="T13" s="238" t="str">
        <f t="shared" si="2"/>
        <v/>
      </c>
      <c r="U13" s="238" t="str">
        <f t="shared" si="6"/>
        <v/>
      </c>
      <c r="V13" s="347" t="str">
        <f t="shared" si="7"/>
        <v/>
      </c>
      <c r="W13"/>
      <c r="X13"/>
      <c r="Y13"/>
    </row>
    <row r="14" spans="1:28" s="5" customFormat="1" ht="24.95" customHeight="1" thickBot="1" x14ac:dyDescent="0.25">
      <c r="A14" s="236" t="str">
        <f t="shared" si="3"/>
        <v/>
      </c>
      <c r="B14" s="214"/>
      <c r="C14" s="196"/>
      <c r="D14" s="197"/>
      <c r="E14" s="198"/>
      <c r="F14" s="214"/>
      <c r="G14" s="202"/>
      <c r="H14" s="196"/>
      <c r="I14" s="196"/>
      <c r="J14" s="479" t="str">
        <f t="shared" si="4"/>
        <v/>
      </c>
      <c r="K14" s="480"/>
      <c r="L14" s="481" t="str">
        <f t="shared" si="5"/>
        <v/>
      </c>
      <c r="M14" s="480"/>
      <c r="N14" s="212"/>
      <c r="O14" s="196"/>
      <c r="P14" s="466"/>
      <c r="Q14" s="357"/>
      <c r="R14" s="237" t="str">
        <f t="shared" si="0"/>
        <v/>
      </c>
      <c r="S14" s="238" t="str">
        <f t="shared" si="1"/>
        <v/>
      </c>
      <c r="T14" s="238" t="str">
        <f t="shared" si="2"/>
        <v/>
      </c>
      <c r="U14" s="238" t="str">
        <f t="shared" si="6"/>
        <v/>
      </c>
      <c r="V14" s="347" t="str">
        <f t="shared" si="7"/>
        <v/>
      </c>
      <c r="W14"/>
      <c r="X14"/>
      <c r="Y14"/>
    </row>
    <row r="15" spans="1:28" s="5" customFormat="1" ht="24.95" customHeight="1" thickBot="1" x14ac:dyDescent="0.25">
      <c r="A15" s="236" t="str">
        <f t="shared" si="3"/>
        <v/>
      </c>
      <c r="B15" s="214"/>
      <c r="C15" s="196"/>
      <c r="D15" s="197"/>
      <c r="E15" s="198"/>
      <c r="F15" s="214"/>
      <c r="G15" s="202"/>
      <c r="H15" s="196"/>
      <c r="I15" s="196"/>
      <c r="J15" s="479" t="str">
        <f t="shared" si="4"/>
        <v/>
      </c>
      <c r="K15" s="480"/>
      <c r="L15" s="481" t="str">
        <f t="shared" si="5"/>
        <v/>
      </c>
      <c r="M15" s="480"/>
      <c r="N15" s="212"/>
      <c r="O15" s="196"/>
      <c r="P15" s="466"/>
      <c r="Q15" s="357"/>
      <c r="R15" s="237" t="str">
        <f t="shared" si="0"/>
        <v/>
      </c>
      <c r="S15" s="238" t="str">
        <f t="shared" si="1"/>
        <v/>
      </c>
      <c r="T15" s="238" t="str">
        <f t="shared" si="2"/>
        <v/>
      </c>
      <c r="U15" s="238" t="str">
        <f t="shared" si="6"/>
        <v/>
      </c>
      <c r="V15" s="347" t="str">
        <f t="shared" si="7"/>
        <v/>
      </c>
      <c r="W15"/>
      <c r="X15"/>
      <c r="Y15"/>
    </row>
    <row r="16" spans="1:28" s="5" customFormat="1" ht="24.95" customHeight="1" thickBot="1" x14ac:dyDescent="0.25">
      <c r="A16" s="236" t="str">
        <f t="shared" si="3"/>
        <v/>
      </c>
      <c r="B16" s="214"/>
      <c r="C16" s="196"/>
      <c r="D16" s="197"/>
      <c r="E16" s="198"/>
      <c r="F16" s="214"/>
      <c r="G16" s="202"/>
      <c r="H16" s="196"/>
      <c r="I16" s="196"/>
      <c r="J16" s="479" t="str">
        <f t="shared" si="4"/>
        <v/>
      </c>
      <c r="K16" s="480"/>
      <c r="L16" s="481" t="str">
        <f t="shared" si="5"/>
        <v/>
      </c>
      <c r="M16" s="480"/>
      <c r="N16" s="212"/>
      <c r="O16" s="196"/>
      <c r="P16" s="466"/>
      <c r="Q16" s="357"/>
      <c r="R16" s="237" t="str">
        <f t="shared" si="0"/>
        <v/>
      </c>
      <c r="S16" s="238" t="str">
        <f t="shared" si="1"/>
        <v/>
      </c>
      <c r="T16" s="238" t="str">
        <f t="shared" si="2"/>
        <v/>
      </c>
      <c r="U16" s="238" t="str">
        <f t="shared" si="6"/>
        <v/>
      </c>
      <c r="V16" s="347" t="str">
        <f t="shared" si="7"/>
        <v/>
      </c>
      <c r="W16"/>
      <c r="X16"/>
      <c r="Y16"/>
    </row>
    <row r="17" spans="1:25" s="5" customFormat="1" ht="24.95" customHeight="1" thickBot="1" x14ac:dyDescent="0.25">
      <c r="A17" s="236" t="str">
        <f t="shared" si="3"/>
        <v/>
      </c>
      <c r="B17" s="214"/>
      <c r="C17" s="196"/>
      <c r="D17" s="197"/>
      <c r="E17" s="198"/>
      <c r="F17" s="214"/>
      <c r="G17" s="202"/>
      <c r="H17" s="196"/>
      <c r="I17" s="196"/>
      <c r="J17" s="479" t="str">
        <f t="shared" si="4"/>
        <v/>
      </c>
      <c r="K17" s="480"/>
      <c r="L17" s="481" t="str">
        <f t="shared" si="5"/>
        <v/>
      </c>
      <c r="M17" s="480"/>
      <c r="N17" s="212"/>
      <c r="O17" s="196"/>
      <c r="P17" s="466"/>
      <c r="Q17" s="357"/>
      <c r="R17" s="237" t="str">
        <f t="shared" si="0"/>
        <v/>
      </c>
      <c r="S17" s="238" t="str">
        <f t="shared" si="1"/>
        <v/>
      </c>
      <c r="T17" s="238" t="str">
        <f t="shared" si="2"/>
        <v/>
      </c>
      <c r="U17" s="238" t="str">
        <f t="shared" si="6"/>
        <v/>
      </c>
      <c r="V17" s="347" t="str">
        <f t="shared" si="7"/>
        <v/>
      </c>
      <c r="W17"/>
      <c r="X17"/>
      <c r="Y17"/>
    </row>
    <row r="18" spans="1:25" s="5" customFormat="1" ht="24.95" customHeight="1" thickBot="1" x14ac:dyDescent="0.25">
      <c r="A18" s="236" t="str">
        <f t="shared" si="3"/>
        <v/>
      </c>
      <c r="B18" s="214"/>
      <c r="C18" s="196"/>
      <c r="D18" s="197"/>
      <c r="E18" s="198"/>
      <c r="F18" s="214"/>
      <c r="G18" s="202"/>
      <c r="H18" s="196"/>
      <c r="I18" s="196"/>
      <c r="J18" s="479" t="str">
        <f t="shared" si="4"/>
        <v/>
      </c>
      <c r="K18" s="480"/>
      <c r="L18" s="481" t="str">
        <f t="shared" si="5"/>
        <v/>
      </c>
      <c r="M18" s="480"/>
      <c r="N18" s="212"/>
      <c r="O18" s="196"/>
      <c r="P18" s="466"/>
      <c r="Q18" s="357"/>
      <c r="R18" s="237" t="str">
        <f t="shared" si="0"/>
        <v/>
      </c>
      <c r="S18" s="238" t="str">
        <f t="shared" si="1"/>
        <v/>
      </c>
      <c r="T18" s="238" t="str">
        <f t="shared" si="2"/>
        <v/>
      </c>
      <c r="U18" s="238" t="str">
        <f t="shared" si="6"/>
        <v/>
      </c>
      <c r="V18" s="347" t="str">
        <f t="shared" si="7"/>
        <v/>
      </c>
      <c r="W18"/>
      <c r="X18"/>
      <c r="Y18"/>
    </row>
    <row r="19" spans="1:25" s="5" customFormat="1" ht="24.95" customHeight="1" thickBot="1" x14ac:dyDescent="0.25">
      <c r="A19" s="241" t="str">
        <f t="shared" si="3"/>
        <v/>
      </c>
      <c r="B19" s="215"/>
      <c r="C19" s="199"/>
      <c r="D19" s="200"/>
      <c r="E19" s="201"/>
      <c r="F19" s="215"/>
      <c r="G19" s="216"/>
      <c r="H19" s="199"/>
      <c r="I19" s="199"/>
      <c r="J19" s="482" t="str">
        <f t="shared" si="4"/>
        <v/>
      </c>
      <c r="K19" s="483"/>
      <c r="L19" s="484" t="str">
        <f t="shared" si="5"/>
        <v/>
      </c>
      <c r="M19" s="483"/>
      <c r="N19" s="213"/>
      <c r="O19" s="199"/>
      <c r="P19" s="467"/>
      <c r="Q19" s="358"/>
      <c r="R19" s="239" t="str">
        <f t="shared" si="0"/>
        <v/>
      </c>
      <c r="S19" s="240" t="str">
        <f t="shared" si="1"/>
        <v/>
      </c>
      <c r="T19" s="240" t="str">
        <f t="shared" si="2"/>
        <v/>
      </c>
      <c r="U19" s="240" t="str">
        <f t="shared" si="6"/>
        <v/>
      </c>
      <c r="V19" s="347" t="str">
        <f t="shared" si="7"/>
        <v/>
      </c>
      <c r="W19"/>
      <c r="X19"/>
      <c r="Y19"/>
    </row>
    <row r="20" spans="1:25" ht="24.75" customHeight="1" thickBot="1" x14ac:dyDescent="0.25">
      <c r="E20" s="15"/>
      <c r="M20" s="6"/>
      <c r="N20" s="16"/>
      <c r="R20" s="621" t="s">
        <v>475</v>
      </c>
      <c r="S20" s="622"/>
      <c r="T20" s="7" t="s">
        <v>37</v>
      </c>
      <c r="U20" s="707">
        <f>IF(SUM(V10:V19)&gt;100000,100000,SUM(V10:V19))</f>
        <v>0</v>
      </c>
      <c r="V20" s="708"/>
    </row>
    <row r="21" spans="1:25" ht="8.25" customHeight="1" x14ac:dyDescent="0.2">
      <c r="O21" s="177"/>
      <c r="P21" s="177"/>
      <c r="Q21" s="177"/>
      <c r="R21" s="623"/>
      <c r="S21" s="624"/>
      <c r="W21" s="1"/>
      <c r="X21" s="1"/>
    </row>
    <row r="22" spans="1:25" s="165" customFormat="1" ht="8.25" customHeight="1" thickBot="1" x14ac:dyDescent="0.25">
      <c r="A22"/>
      <c r="B22"/>
      <c r="C22"/>
      <c r="D22"/>
      <c r="E22"/>
      <c r="F22"/>
      <c r="G22"/>
      <c r="H22"/>
      <c r="I22"/>
      <c r="J22"/>
      <c r="K22"/>
      <c r="L22"/>
      <c r="M22"/>
      <c r="N22"/>
      <c r="O22"/>
      <c r="P22"/>
      <c r="Q22"/>
      <c r="R22"/>
      <c r="S22"/>
      <c r="T22"/>
      <c r="U22"/>
      <c r="V22"/>
    </row>
    <row r="23" spans="1:25" ht="20.100000000000001" customHeight="1" thickBot="1" x14ac:dyDescent="0.25">
      <c r="A23" s="643" t="s">
        <v>46</v>
      </c>
      <c r="B23" s="644"/>
      <c r="C23" s="644"/>
      <c r="D23" s="644"/>
      <c r="E23" s="644"/>
      <c r="F23" s="644"/>
      <c r="G23" s="644"/>
      <c r="H23" s="644"/>
      <c r="I23" s="644"/>
      <c r="J23" s="644"/>
      <c r="K23" s="644"/>
      <c r="L23" s="644"/>
      <c r="M23" s="644"/>
      <c r="N23" s="645"/>
      <c r="O23" s="165"/>
      <c r="P23" s="697" t="s">
        <v>183</v>
      </c>
      <c r="Q23" s="698"/>
      <c r="R23" s="698"/>
      <c r="S23" s="698"/>
      <c r="T23" s="698"/>
      <c r="U23" s="699"/>
      <c r="V23" s="7"/>
      <c r="W23" s="1"/>
    </row>
    <row r="24" spans="1:25" ht="15" customHeight="1" thickBot="1" x14ac:dyDescent="0.25">
      <c r="A24" s="643" t="s">
        <v>275</v>
      </c>
      <c r="B24" s="644"/>
      <c r="C24" s="644"/>
      <c r="D24" s="644"/>
      <c r="E24" s="644"/>
      <c r="F24" s="644"/>
      <c r="G24" s="644"/>
      <c r="H24" s="644"/>
      <c r="I24" s="644"/>
      <c r="J24" s="644"/>
      <c r="K24" s="644"/>
      <c r="L24" s="644"/>
      <c r="M24" s="644"/>
      <c r="N24" s="645"/>
      <c r="O24" s="351"/>
      <c r="P24" s="628" t="s">
        <v>216</v>
      </c>
      <c r="Q24" s="629"/>
      <c r="R24" s="629"/>
      <c r="S24" s="629"/>
      <c r="T24" s="700" t="s">
        <v>276</v>
      </c>
      <c r="U24" s="701"/>
      <c r="V24" s="350"/>
      <c r="W24" s="1"/>
    </row>
    <row r="25" spans="1:25" ht="15" customHeight="1" thickBot="1" x14ac:dyDescent="0.25">
      <c r="A25" s="354" t="s">
        <v>267</v>
      </c>
      <c r="B25" s="633" t="s">
        <v>266</v>
      </c>
      <c r="C25" s="634"/>
      <c r="D25" s="634"/>
      <c r="E25" s="634"/>
      <c r="F25" s="635"/>
      <c r="G25" s="355" t="s">
        <v>268</v>
      </c>
      <c r="H25" s="439" t="s">
        <v>269</v>
      </c>
      <c r="I25" s="646" t="s">
        <v>42</v>
      </c>
      <c r="J25" s="647"/>
      <c r="K25" s="648"/>
      <c r="L25" s="655" t="s">
        <v>270</v>
      </c>
      <c r="M25" s="647"/>
      <c r="N25" s="656"/>
      <c r="O25" s="352"/>
      <c r="P25" s="616" t="s">
        <v>231</v>
      </c>
      <c r="Q25" s="617"/>
      <c r="R25" s="617"/>
      <c r="S25" s="618"/>
      <c r="T25" s="619">
        <v>986</v>
      </c>
      <c r="U25" s="620"/>
      <c r="V25" s="85"/>
    </row>
    <row r="26" spans="1:25" ht="14.1" customHeight="1" x14ac:dyDescent="0.2">
      <c r="A26" s="353" t="s">
        <v>436</v>
      </c>
      <c r="B26" s="650" t="s">
        <v>278</v>
      </c>
      <c r="C26" s="651"/>
      <c r="D26" s="651"/>
      <c r="E26" s="651"/>
      <c r="F26" s="652"/>
      <c r="G26" s="461">
        <v>9.74</v>
      </c>
      <c r="H26" s="463">
        <v>14</v>
      </c>
      <c r="I26" s="663">
        <v>8</v>
      </c>
      <c r="J26" s="664"/>
      <c r="K26" s="665"/>
      <c r="L26" s="711">
        <v>0</v>
      </c>
      <c r="M26" s="712"/>
      <c r="N26" s="713"/>
      <c r="O26" s="352"/>
      <c r="P26" s="616" t="s">
        <v>143</v>
      </c>
      <c r="Q26" s="617" t="s">
        <v>137</v>
      </c>
      <c r="R26" s="617"/>
      <c r="S26" s="618"/>
      <c r="T26" s="619">
        <v>785</v>
      </c>
      <c r="U26" s="620"/>
      <c r="V26" s="85"/>
    </row>
    <row r="27" spans="1:25" ht="14.1" customHeight="1" thickBot="1" x14ac:dyDescent="0.25">
      <c r="A27" s="353" t="s">
        <v>437</v>
      </c>
      <c r="B27" s="636" t="s">
        <v>279</v>
      </c>
      <c r="C27" s="637"/>
      <c r="D27" s="637"/>
      <c r="E27" s="637"/>
      <c r="F27" s="638"/>
      <c r="G27" s="461">
        <v>9.74</v>
      </c>
      <c r="H27" s="464">
        <v>14.3</v>
      </c>
      <c r="I27" s="639">
        <v>8</v>
      </c>
      <c r="J27" s="640"/>
      <c r="K27" s="641"/>
      <c r="L27" s="666">
        <v>0</v>
      </c>
      <c r="M27" s="709"/>
      <c r="N27" s="710"/>
      <c r="O27" s="352"/>
      <c r="P27" s="616" t="s">
        <v>232</v>
      </c>
      <c r="Q27" s="617" t="s">
        <v>140</v>
      </c>
      <c r="R27" s="617"/>
      <c r="S27" s="618"/>
      <c r="T27" s="619">
        <v>408</v>
      </c>
      <c r="U27" s="620"/>
      <c r="V27" s="85"/>
    </row>
    <row r="28" spans="1:25" ht="15" customHeight="1" thickBot="1" x14ac:dyDescent="0.25">
      <c r="A28" s="643" t="s">
        <v>277</v>
      </c>
      <c r="B28" s="644"/>
      <c r="C28" s="644"/>
      <c r="D28" s="644"/>
      <c r="E28" s="644"/>
      <c r="F28" s="644"/>
      <c r="G28" s="644"/>
      <c r="H28" s="644"/>
      <c r="I28" s="644"/>
      <c r="J28" s="644"/>
      <c r="K28" s="644"/>
      <c r="L28" s="644"/>
      <c r="M28" s="644"/>
      <c r="N28" s="645"/>
      <c r="O28" s="352"/>
      <c r="P28" s="616" t="s">
        <v>233</v>
      </c>
      <c r="Q28" s="617" t="s">
        <v>144</v>
      </c>
      <c r="R28" s="617"/>
      <c r="S28" s="618"/>
      <c r="T28" s="619">
        <v>563</v>
      </c>
      <c r="U28" s="620"/>
      <c r="V28" s="85"/>
    </row>
    <row r="29" spans="1:25" ht="15" customHeight="1" thickBot="1" x14ac:dyDescent="0.25">
      <c r="A29" s="354" t="s">
        <v>267</v>
      </c>
      <c r="B29" s="633" t="s">
        <v>266</v>
      </c>
      <c r="C29" s="634"/>
      <c r="D29" s="634"/>
      <c r="E29" s="634"/>
      <c r="F29" s="635"/>
      <c r="G29" s="355" t="s">
        <v>268</v>
      </c>
      <c r="H29" s="439" t="s">
        <v>269</v>
      </c>
      <c r="I29" s="646" t="s">
        <v>42</v>
      </c>
      <c r="J29" s="647"/>
      <c r="K29" s="648"/>
      <c r="L29" s="655" t="s">
        <v>270</v>
      </c>
      <c r="M29" s="647"/>
      <c r="N29" s="656"/>
      <c r="O29" s="352"/>
      <c r="P29" s="616" t="s">
        <v>144</v>
      </c>
      <c r="Q29" s="617" t="s">
        <v>145</v>
      </c>
      <c r="R29" s="617"/>
      <c r="S29" s="618"/>
      <c r="T29" s="619">
        <v>865</v>
      </c>
      <c r="U29" s="620"/>
      <c r="V29" s="85"/>
    </row>
    <row r="30" spans="1:25" s="1" customFormat="1" ht="14.1" customHeight="1" x14ac:dyDescent="0.2">
      <c r="A30" s="353" t="s">
        <v>438</v>
      </c>
      <c r="B30" s="650" t="s">
        <v>278</v>
      </c>
      <c r="C30" s="651"/>
      <c r="D30" s="651"/>
      <c r="E30" s="651"/>
      <c r="F30" s="652"/>
      <c r="G30" s="461">
        <v>9.5619999999999994</v>
      </c>
      <c r="H30" s="463">
        <v>14</v>
      </c>
      <c r="I30" s="663">
        <v>8</v>
      </c>
      <c r="J30" s="664"/>
      <c r="K30" s="665"/>
      <c r="L30" s="669">
        <v>2</v>
      </c>
      <c r="M30" s="664"/>
      <c r="N30" s="670"/>
      <c r="O30" s="352"/>
      <c r="P30" s="616" t="s">
        <v>145</v>
      </c>
      <c r="Q30" s="617"/>
      <c r="R30" s="617"/>
      <c r="S30" s="618"/>
      <c r="T30" s="619">
        <v>1298</v>
      </c>
      <c r="U30" s="620"/>
      <c r="V30" s="85"/>
      <c r="W30"/>
      <c r="X30"/>
    </row>
    <row r="31" spans="1:25" s="1" customFormat="1" ht="14.1" customHeight="1" x14ac:dyDescent="0.2">
      <c r="A31" s="353" t="s">
        <v>439</v>
      </c>
      <c r="B31" s="636" t="s">
        <v>279</v>
      </c>
      <c r="C31" s="637"/>
      <c r="D31" s="637"/>
      <c r="E31" s="637"/>
      <c r="F31" s="638"/>
      <c r="G31" s="462">
        <v>9.5619999999999994</v>
      </c>
      <c r="H31" s="464">
        <v>14.3</v>
      </c>
      <c r="I31" s="639">
        <v>8</v>
      </c>
      <c r="J31" s="640"/>
      <c r="K31" s="641"/>
      <c r="L31" s="642">
        <v>2</v>
      </c>
      <c r="M31" s="640"/>
      <c r="N31" s="641"/>
      <c r="O31" s="177"/>
      <c r="P31" s="616" t="s">
        <v>234</v>
      </c>
      <c r="Q31" s="617"/>
      <c r="R31" s="617"/>
      <c r="S31" s="618"/>
      <c r="T31" s="619">
        <v>754</v>
      </c>
      <c r="U31" s="620"/>
      <c r="V31" s="85"/>
      <c r="W31"/>
      <c r="X31"/>
    </row>
    <row r="32" spans="1:25" s="1" customFormat="1" ht="14.1" customHeight="1" x14ac:dyDescent="0.2">
      <c r="A32" s="177"/>
      <c r="B32" s="177"/>
      <c r="C32" s="177"/>
      <c r="D32" s="177"/>
      <c r="E32" s="177"/>
      <c r="F32" s="177"/>
      <c r="G32" s="177"/>
      <c r="H32" s="177"/>
      <c r="I32" s="177"/>
      <c r="J32" s="177"/>
      <c r="K32" s="177"/>
      <c r="L32" s="177"/>
      <c r="M32" s="177"/>
      <c r="N32" s="177"/>
      <c r="O32" s="179"/>
      <c r="P32" s="616" t="s">
        <v>235</v>
      </c>
      <c r="Q32" s="617"/>
      <c r="R32" s="617"/>
      <c r="S32" s="618"/>
      <c r="T32" s="619">
        <v>589</v>
      </c>
      <c r="U32" s="620"/>
      <c r="V32" s="85"/>
      <c r="W32"/>
      <c r="X32"/>
      <c r="Y32"/>
    </row>
    <row r="33" spans="1:25" s="1" customFormat="1" ht="14.1" customHeight="1" x14ac:dyDescent="0.2">
      <c r="A33" s="177" t="s">
        <v>427</v>
      </c>
      <c r="B33" s="177"/>
      <c r="C33" s="177"/>
      <c r="D33" s="177"/>
      <c r="E33" s="177"/>
      <c r="F33" s="177"/>
      <c r="G33" s="177"/>
      <c r="H33" s="177"/>
      <c r="I33" s="177"/>
      <c r="J33" s="177"/>
      <c r="K33" s="177"/>
      <c r="L33" s="177"/>
      <c r="M33" s="177"/>
      <c r="N33" s="179"/>
      <c r="O33" s="179"/>
      <c r="P33" s="616" t="s">
        <v>236</v>
      </c>
      <c r="Q33" s="617"/>
      <c r="R33" s="617"/>
      <c r="S33" s="618"/>
      <c r="T33" s="619">
        <v>446</v>
      </c>
      <c r="U33" s="620"/>
      <c r="V33" s="85"/>
      <c r="W33"/>
      <c r="X33"/>
      <c r="Y33"/>
    </row>
    <row r="34" spans="1:25" s="1" customFormat="1" ht="14.1" customHeight="1" x14ac:dyDescent="0.2">
      <c r="A34" s="177"/>
      <c r="B34" s="177"/>
      <c r="C34" s="177"/>
      <c r="D34" s="177"/>
      <c r="E34" s="177"/>
      <c r="F34" s="177"/>
      <c r="G34" s="177"/>
      <c r="H34" s="177"/>
      <c r="I34" s="177"/>
      <c r="J34" s="177"/>
      <c r="K34" s="177"/>
      <c r="L34" s="177"/>
      <c r="M34" s="177"/>
      <c r="N34" s="179"/>
      <c r="O34" s="179"/>
      <c r="P34" s="616" t="s">
        <v>237</v>
      </c>
      <c r="Q34" s="617"/>
      <c r="R34" s="617"/>
      <c r="S34" s="618"/>
      <c r="T34" s="619">
        <v>651</v>
      </c>
      <c r="U34" s="620"/>
      <c r="V34" s="85"/>
      <c r="W34"/>
      <c r="X34"/>
      <c r="Y34"/>
    </row>
    <row r="35" spans="1:25" ht="14.1" customHeight="1" x14ac:dyDescent="0.2">
      <c r="A35" s="442" t="s">
        <v>280</v>
      </c>
      <c r="B35" s="177"/>
      <c r="C35" s="177"/>
      <c r="D35" s="177"/>
      <c r="E35" s="177"/>
      <c r="F35" s="177"/>
      <c r="G35" s="177"/>
      <c r="H35" s="177"/>
      <c r="I35" s="177"/>
      <c r="J35" s="177"/>
      <c r="K35" s="177"/>
      <c r="L35" s="177"/>
      <c r="M35" s="177"/>
      <c r="N35" s="179"/>
      <c r="O35" s="349"/>
      <c r="P35" s="616" t="s">
        <v>238</v>
      </c>
      <c r="Q35" s="617"/>
      <c r="R35" s="617"/>
      <c r="S35" s="618"/>
      <c r="T35" s="619">
        <v>1263</v>
      </c>
      <c r="U35" s="620"/>
      <c r="V35" s="85"/>
    </row>
    <row r="36" spans="1:25" ht="14.1" customHeight="1" x14ac:dyDescent="0.2">
      <c r="A36" s="442"/>
      <c r="B36" s="177"/>
      <c r="C36" s="177"/>
      <c r="D36" s="177"/>
      <c r="E36" s="177"/>
      <c r="F36" s="177"/>
      <c r="G36" s="177"/>
      <c r="H36" s="177"/>
      <c r="I36" s="177"/>
      <c r="J36" s="177"/>
      <c r="K36" s="177"/>
      <c r="L36" s="177"/>
      <c r="M36" s="177"/>
      <c r="N36" s="179"/>
      <c r="O36" s="349"/>
      <c r="P36" s="616" t="s">
        <v>528</v>
      </c>
      <c r="Q36" s="617"/>
      <c r="R36" s="617"/>
      <c r="S36" s="618"/>
      <c r="T36" s="619">
        <v>729</v>
      </c>
      <c r="U36" s="620"/>
      <c r="V36" s="85"/>
    </row>
    <row r="37" spans="1:25" ht="14.1" customHeight="1" x14ac:dyDescent="0.2">
      <c r="A37" s="180" t="s">
        <v>281</v>
      </c>
      <c r="B37" s="625" t="s">
        <v>282</v>
      </c>
      <c r="C37" s="625"/>
      <c r="D37" s="625"/>
      <c r="E37" s="625"/>
      <c r="F37" s="625"/>
      <c r="G37" s="625"/>
      <c r="H37" s="625"/>
      <c r="I37" s="625"/>
      <c r="J37" s="625"/>
      <c r="K37" s="625"/>
      <c r="L37" s="625"/>
      <c r="M37" s="625"/>
      <c r="N37" s="625"/>
      <c r="O37" s="177"/>
      <c r="P37" s="616" t="s">
        <v>239</v>
      </c>
      <c r="Q37" s="617"/>
      <c r="R37" s="617"/>
      <c r="S37" s="618"/>
      <c r="T37" s="619">
        <v>652</v>
      </c>
      <c r="U37" s="620"/>
      <c r="V37" s="85"/>
    </row>
    <row r="38" spans="1:25" ht="14.1" customHeight="1" x14ac:dyDescent="0.2">
      <c r="B38" s="625"/>
      <c r="C38" s="625"/>
      <c r="D38" s="625"/>
      <c r="E38" s="625"/>
      <c r="F38" s="625"/>
      <c r="G38" s="625"/>
      <c r="H38" s="625"/>
      <c r="I38" s="625"/>
      <c r="J38" s="625"/>
      <c r="K38" s="625"/>
      <c r="L38" s="625"/>
      <c r="M38" s="625"/>
      <c r="N38" s="625"/>
      <c r="P38" s="616" t="s">
        <v>240</v>
      </c>
      <c r="Q38" s="617"/>
      <c r="R38" s="617"/>
      <c r="S38" s="618"/>
      <c r="T38" s="619">
        <v>686</v>
      </c>
      <c r="U38" s="620"/>
      <c r="V38" s="85"/>
    </row>
    <row r="39" spans="1:25" ht="14.1" customHeight="1" x14ac:dyDescent="0.2">
      <c r="B39" s="625"/>
      <c r="C39" s="625"/>
      <c r="D39" s="625"/>
      <c r="E39" s="625"/>
      <c r="F39" s="625"/>
      <c r="G39" s="625"/>
      <c r="H39" s="625"/>
      <c r="I39" s="625"/>
      <c r="J39" s="625"/>
      <c r="K39" s="625"/>
      <c r="L39" s="625"/>
      <c r="M39" s="625"/>
      <c r="N39" s="625"/>
      <c r="P39" s="616" t="s">
        <v>241</v>
      </c>
      <c r="Q39" s="617"/>
      <c r="R39" s="617"/>
      <c r="S39" s="618"/>
      <c r="T39" s="693">
        <v>574</v>
      </c>
      <c r="U39" s="694"/>
      <c r="V39" s="85"/>
    </row>
    <row r="40" spans="1:25" ht="14.1" customHeight="1" thickBot="1" x14ac:dyDescent="0.25">
      <c r="B40" s="625"/>
      <c r="C40" s="625"/>
      <c r="D40" s="625"/>
      <c r="E40" s="625"/>
      <c r="F40" s="625"/>
      <c r="G40" s="625"/>
      <c r="H40" s="625"/>
      <c r="I40" s="625"/>
      <c r="J40" s="625"/>
      <c r="K40" s="625"/>
      <c r="L40" s="625"/>
      <c r="M40" s="625"/>
      <c r="N40" s="625"/>
      <c r="O40" s="177"/>
      <c r="P40" s="630" t="s">
        <v>242</v>
      </c>
      <c r="Q40" s="631"/>
      <c r="R40" s="631"/>
      <c r="S40" s="632"/>
      <c r="T40" s="695">
        <v>409</v>
      </c>
      <c r="U40" s="696"/>
    </row>
    <row r="41" spans="1:25" ht="14.1" customHeight="1" x14ac:dyDescent="0.2">
      <c r="O41" s="177"/>
      <c r="P41" s="85"/>
      <c r="Q41" s="85"/>
      <c r="R41" s="85"/>
      <c r="S41" s="85"/>
      <c r="T41" s="85"/>
      <c r="U41" s="85"/>
    </row>
    <row r="42" spans="1:25" ht="14.1" customHeight="1" thickBot="1" x14ac:dyDescent="0.25">
      <c r="B42" t="s">
        <v>220</v>
      </c>
      <c r="O42" s="177"/>
      <c r="P42" s="177"/>
      <c r="Q42" s="177"/>
      <c r="R42" s="177"/>
      <c r="S42" s="177"/>
      <c r="T42" s="1"/>
      <c r="U42" s="1"/>
    </row>
    <row r="43" spans="1:25" ht="14.1" customHeight="1" x14ac:dyDescent="0.2">
      <c r="B43" t="s">
        <v>221</v>
      </c>
      <c r="O43" s="177"/>
      <c r="P43" s="697" t="s">
        <v>265</v>
      </c>
      <c r="Q43" s="698"/>
      <c r="R43" s="698"/>
      <c r="S43" s="698"/>
      <c r="T43" s="698"/>
      <c r="U43" s="699"/>
    </row>
    <row r="44" spans="1:25" ht="14.1" customHeight="1" x14ac:dyDescent="0.2">
      <c r="P44" s="691" t="s">
        <v>283</v>
      </c>
      <c r="Q44" s="692"/>
      <c r="R44" s="619" t="s">
        <v>428</v>
      </c>
      <c r="S44" s="640"/>
      <c r="T44" s="640"/>
      <c r="U44" s="715"/>
    </row>
    <row r="45" spans="1:25" ht="14.1" customHeight="1" x14ac:dyDescent="0.2">
      <c r="P45" s="177"/>
      <c r="Q45" s="177"/>
      <c r="R45" s="177"/>
      <c r="S45" s="177"/>
    </row>
    <row r="46" spans="1:25" ht="14.1" customHeight="1" x14ac:dyDescent="0.2"/>
  </sheetData>
  <sheetProtection selectLockedCells="1"/>
  <mergeCells count="66">
    <mergeCell ref="P43:U43"/>
    <mergeCell ref="P44:Q44"/>
    <mergeCell ref="R44:U44"/>
    <mergeCell ref="P40:S40"/>
    <mergeCell ref="T40:U40"/>
    <mergeCell ref="B31:F31"/>
    <mergeCell ref="I31:K31"/>
    <mergeCell ref="L31:N31"/>
    <mergeCell ref="A28:N28"/>
    <mergeCell ref="B29:F29"/>
    <mergeCell ref="I29:K29"/>
    <mergeCell ref="L29:N29"/>
    <mergeCell ref="B30:F30"/>
    <mergeCell ref="I30:K30"/>
    <mergeCell ref="L30:N30"/>
    <mergeCell ref="T33:U33"/>
    <mergeCell ref="T32:U32"/>
    <mergeCell ref="T31:U31"/>
    <mergeCell ref="P39:S39"/>
    <mergeCell ref="P35:S35"/>
    <mergeCell ref="P37:S37"/>
    <mergeCell ref="P38:S38"/>
    <mergeCell ref="T39:U39"/>
    <mergeCell ref="T38:U38"/>
    <mergeCell ref="T37:U37"/>
    <mergeCell ref="T35:U35"/>
    <mergeCell ref="T34:U34"/>
    <mergeCell ref="P33:S33"/>
    <mergeCell ref="P36:S36"/>
    <mergeCell ref="T36:U36"/>
    <mergeCell ref="D3:F3"/>
    <mergeCell ref="D4:F4"/>
    <mergeCell ref="B7:E7"/>
    <mergeCell ref="P23:U23"/>
    <mergeCell ref="R20:S21"/>
    <mergeCell ref="F7:Q7"/>
    <mergeCell ref="A23:N23"/>
    <mergeCell ref="P25:S25"/>
    <mergeCell ref="T24:U24"/>
    <mergeCell ref="A24:N24"/>
    <mergeCell ref="B27:F27"/>
    <mergeCell ref="I27:K27"/>
    <mergeCell ref="L27:N27"/>
    <mergeCell ref="B25:F25"/>
    <mergeCell ref="P24:S24"/>
    <mergeCell ref="I25:K25"/>
    <mergeCell ref="L25:N25"/>
    <mergeCell ref="B26:F26"/>
    <mergeCell ref="I26:K26"/>
    <mergeCell ref="L26:N26"/>
    <mergeCell ref="B37:N40"/>
    <mergeCell ref="U20:V20"/>
    <mergeCell ref="T28:U28"/>
    <mergeCell ref="P29:S29"/>
    <mergeCell ref="T25:U25"/>
    <mergeCell ref="P31:S31"/>
    <mergeCell ref="P26:S26"/>
    <mergeCell ref="P27:S27"/>
    <mergeCell ref="P28:S28"/>
    <mergeCell ref="T30:U30"/>
    <mergeCell ref="T29:U29"/>
    <mergeCell ref="P30:S30"/>
    <mergeCell ref="P34:S34"/>
    <mergeCell ref="P32:S32"/>
    <mergeCell ref="T27:U27"/>
    <mergeCell ref="T26:U26"/>
  </mergeCells>
  <dataValidations xWindow="138" yWindow="455" count="5">
    <dataValidation type="list" allowBlank="1" showInputMessage="1" showErrorMessage="1" sqref="F10:F19 B10:B19" xr:uid="{00000000-0002-0000-0500-000000000000}">
      <formula1>Unit_Code_ChillersA</formula1>
    </dataValidation>
    <dataValidation type="whole" operator="greaterThanOrEqual" allowBlank="1" showErrorMessage="1" errorTitle="Enter Quantity" error="Please enter the quantity of units - a value equal or greater than zero!" sqref="E10:E19" xr:uid="{00000000-0002-0000-0500-000001000000}">
      <formula1>0</formula1>
    </dataValidation>
    <dataValidation type="list" allowBlank="1" showInputMessage="1" showErrorMessage="1" prompt="Current equipment efficiencies should be used if replacing working equipment. If efficiencies are unknown, use baseline efficiency from  table 3 for new Construction and unknown retrofit efficiencies" sqref="D10:D19" xr:uid="{00000000-0002-0000-0500-000002000000}">
      <formula1>kw_ton</formula1>
    </dataValidation>
    <dataValidation type="decimal" operator="greaterThanOrEqual" allowBlank="1" showInputMessage="1" showErrorMessage="1" errorTitle="Invalid Efficiency Rating" error="Rated FLV must be equal or greater than Minimum FLV" sqref="K10:K19" xr:uid="{00000000-0002-0000-0500-000003000000}">
      <formula1>J10</formula1>
    </dataValidation>
    <dataValidation type="decimal" operator="greaterThanOrEqual" allowBlank="1" showInputMessage="1" showErrorMessage="1" errorTitle="Invalid Efficinecy Rating" error="Rated IPLV must be equal or greater than Minimum IPLV" sqref="M10:M19" xr:uid="{00000000-0002-0000-0500-000004000000}">
      <formula1>L10</formula1>
    </dataValidation>
  </dataValidations>
  <printOptions horizontalCentered="1"/>
  <pageMargins left="0.1" right="0.1" top="0.5" bottom="0.25" header="0.5" footer="0.5"/>
  <pageSetup scale="5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77217" r:id="rId4" name="Option Button 1">
              <controlPr defaultSize="0" autoFill="0" autoLine="0" autoPict="0">
                <anchor moveWithCells="1">
                  <from>
                    <xdr:col>2</xdr:col>
                    <xdr:colOff>57150</xdr:colOff>
                    <xdr:row>1</xdr:row>
                    <xdr:rowOff>257175</xdr:rowOff>
                  </from>
                  <to>
                    <xdr:col>2</xdr:col>
                    <xdr:colOff>361950</xdr:colOff>
                    <xdr:row>3</xdr:row>
                    <xdr:rowOff>0</xdr:rowOff>
                  </to>
                </anchor>
              </controlPr>
            </control>
          </mc:Choice>
        </mc:AlternateContent>
        <mc:AlternateContent xmlns:mc="http://schemas.openxmlformats.org/markup-compatibility/2006">
          <mc:Choice Requires="x14">
            <control shapeId="777218" r:id="rId5" name="Option Button 2">
              <controlPr defaultSize="0" autoFill="0" autoLine="0" autoPict="0">
                <anchor moveWithCells="1">
                  <from>
                    <xdr:col>2</xdr:col>
                    <xdr:colOff>57150</xdr:colOff>
                    <xdr:row>2</xdr:row>
                    <xdr:rowOff>171450</xdr:rowOff>
                  </from>
                  <to>
                    <xdr:col>2</xdr:col>
                    <xdr:colOff>361950</xdr:colOff>
                    <xdr:row>4</xdr:row>
                    <xdr:rowOff>28575</xdr:rowOff>
                  </to>
                </anchor>
              </controlPr>
            </control>
          </mc:Choice>
        </mc:AlternateContent>
        <mc:AlternateContent xmlns:mc="http://schemas.openxmlformats.org/markup-compatibility/2006">
          <mc:Choice Requires="x14">
            <control shapeId="777231" r:id="rId6" name="Option Button 15">
              <controlPr defaultSize="0" autoFill="0" autoLine="0" autoPict="0">
                <anchor moveWithCells="1">
                  <from>
                    <xdr:col>6</xdr:col>
                    <xdr:colOff>57150</xdr:colOff>
                    <xdr:row>3</xdr:row>
                    <xdr:rowOff>257175</xdr:rowOff>
                  </from>
                  <to>
                    <xdr:col>6</xdr:col>
                    <xdr:colOff>361950</xdr:colOff>
                    <xdr:row>5</xdr:row>
                    <xdr:rowOff>0</xdr:rowOff>
                  </to>
                </anchor>
              </controlPr>
            </control>
          </mc:Choice>
        </mc:AlternateContent>
        <mc:AlternateContent xmlns:mc="http://schemas.openxmlformats.org/markup-compatibility/2006">
          <mc:Choice Requires="x14">
            <control shapeId="777232" r:id="rId7" name="Option Button 16">
              <controlPr defaultSize="0" autoFill="0" autoLine="0" autoPict="0">
                <anchor moveWithCells="1">
                  <from>
                    <xdr:col>6</xdr:col>
                    <xdr:colOff>57150</xdr:colOff>
                    <xdr:row>4</xdr:row>
                    <xdr:rowOff>171450</xdr:rowOff>
                  </from>
                  <to>
                    <xdr:col>6</xdr:col>
                    <xdr:colOff>361950</xdr:colOff>
                    <xdr:row>5</xdr:row>
                    <xdr:rowOff>190500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P32"/>
  <sheetViews>
    <sheetView zoomScale="103" zoomScaleNormal="103" workbookViewId="0">
      <selection activeCell="B29" sqref="B29"/>
    </sheetView>
  </sheetViews>
  <sheetFormatPr defaultRowHeight="12.75" x14ac:dyDescent="0.2"/>
  <cols>
    <col min="1" max="1" width="18.85546875" customWidth="1"/>
    <col min="2" max="2" width="14" customWidth="1"/>
    <col min="3" max="3" width="9.28515625" customWidth="1"/>
    <col min="4" max="4" width="11" customWidth="1"/>
    <col min="5" max="5" width="10.7109375" customWidth="1"/>
    <col min="6" max="6" width="10.5703125" bestFit="1" customWidth="1"/>
    <col min="7" max="7" width="11.85546875" customWidth="1"/>
    <col min="8" max="8" width="10.140625" customWidth="1"/>
    <col min="9" max="9" width="9.7109375" customWidth="1"/>
    <col min="10" max="11" width="12.5703125" bestFit="1" customWidth="1"/>
    <col min="12" max="12" width="9.42578125" bestFit="1" customWidth="1"/>
    <col min="13" max="13" width="10.42578125" bestFit="1" customWidth="1"/>
    <col min="14" max="14" width="9.28515625" bestFit="1" customWidth="1"/>
    <col min="15" max="15" width="10.85546875" bestFit="1" customWidth="1"/>
    <col min="16" max="16" width="11.85546875" customWidth="1"/>
  </cols>
  <sheetData>
    <row r="1" spans="1:16" s="165" customFormat="1" ht="20.25" thickBot="1" x14ac:dyDescent="0.25">
      <c r="A1" s="280" t="s">
        <v>184</v>
      </c>
      <c r="B1" s="281"/>
      <c r="C1" s="281"/>
      <c r="D1" s="281"/>
      <c r="E1" s="281"/>
      <c r="F1" s="281"/>
      <c r="G1" s="281"/>
      <c r="H1" s="281"/>
      <c r="I1" s="281"/>
      <c r="J1" s="281"/>
      <c r="K1" s="281"/>
      <c r="L1" s="281"/>
      <c r="M1" s="282"/>
    </row>
    <row r="2" spans="1:16" x14ac:dyDescent="0.2">
      <c r="A2" s="14" t="s">
        <v>186</v>
      </c>
      <c r="B2" s="1">
        <f>'Customer Information'!CustomerName</f>
        <v>0</v>
      </c>
      <c r="C2" s="69"/>
      <c r="D2" s="69"/>
      <c r="E2" s="1"/>
      <c r="F2" s="1"/>
      <c r="G2" s="1"/>
      <c r="H2" s="1"/>
      <c r="I2" s="1"/>
      <c r="J2" s="163" t="s">
        <v>77</v>
      </c>
      <c r="K2" s="163" t="s">
        <v>78</v>
      </c>
      <c r="L2" s="163" t="s">
        <v>187</v>
      </c>
      <c r="M2" s="1"/>
      <c r="N2" s="1"/>
      <c r="O2" s="1"/>
      <c r="P2" s="1"/>
    </row>
    <row r="3" spans="1:16" ht="15" customHeight="1" x14ac:dyDescent="0.2">
      <c r="A3" s="161"/>
      <c r="B3" s="158"/>
      <c r="C3" s="159"/>
      <c r="D3" s="160"/>
      <c r="E3" s="1"/>
      <c r="F3" s="1"/>
      <c r="G3" s="1"/>
      <c r="H3" s="1"/>
      <c r="I3" s="152" t="s">
        <v>79</v>
      </c>
      <c r="J3" s="186">
        <v>19.670000000000002</v>
      </c>
      <c r="K3" s="185">
        <v>5.9799999999999999E-2</v>
      </c>
      <c r="L3" s="164">
        <f>(J3/(0.55*720)+K3)</f>
        <v>0.10947171717171716</v>
      </c>
      <c r="M3" s="1"/>
      <c r="N3" s="1"/>
      <c r="O3" s="1"/>
      <c r="P3" s="1"/>
    </row>
    <row r="4" spans="1:16" x14ac:dyDescent="0.2">
      <c r="A4" s="14" t="s">
        <v>185</v>
      </c>
      <c r="B4" s="1">
        <f>'Customer Information'!CustomerInstallAddress</f>
        <v>0</v>
      </c>
      <c r="C4" s="1"/>
      <c r="D4" s="1"/>
      <c r="E4" s="1"/>
      <c r="F4" s="1"/>
      <c r="G4" s="1"/>
      <c r="H4" s="1"/>
      <c r="I4" s="1"/>
      <c r="J4" s="1"/>
      <c r="K4" s="1"/>
      <c r="L4" s="1"/>
      <c r="M4" s="1"/>
      <c r="N4" s="14"/>
      <c r="O4" s="1"/>
      <c r="P4" s="1"/>
    </row>
    <row r="5" spans="1:16" x14ac:dyDescent="0.2">
      <c r="A5" s="14" t="s">
        <v>2</v>
      </c>
      <c r="B5" s="1">
        <f>'Customer Information'!G13</f>
        <v>0</v>
      </c>
      <c r="C5" s="1"/>
      <c r="D5" s="1"/>
      <c r="E5" s="1"/>
      <c r="F5" s="1"/>
      <c r="G5" s="1"/>
      <c r="H5" s="1"/>
      <c r="I5" s="1"/>
      <c r="J5" s="162"/>
      <c r="K5" s="1"/>
      <c r="L5" s="1"/>
      <c r="M5" s="1"/>
      <c r="N5" s="14"/>
      <c r="O5" s="1"/>
      <c r="P5" s="1"/>
    </row>
    <row r="6" spans="1:16" ht="7.5" customHeight="1" thickBot="1" x14ac:dyDescent="0.25">
      <c r="A6" s="1"/>
      <c r="B6" s="69"/>
      <c r="C6" s="69"/>
      <c r="D6" s="69"/>
      <c r="E6" s="69"/>
      <c r="F6" s="69"/>
      <c r="G6" s="69"/>
      <c r="H6" s="69"/>
      <c r="I6" s="1"/>
      <c r="J6" s="1"/>
      <c r="K6" s="1"/>
      <c r="L6" s="1"/>
      <c r="M6" s="1"/>
    </row>
    <row r="7" spans="1:16" s="1" customFormat="1" ht="13.5" thickBot="1" x14ac:dyDescent="0.25">
      <c r="A7" s="728" t="s">
        <v>123</v>
      </c>
      <c r="B7" s="729"/>
      <c r="C7" s="729"/>
      <c r="D7" s="730"/>
      <c r="E7"/>
      <c r="F7" s="723" t="s">
        <v>13</v>
      </c>
      <c r="G7" s="724"/>
      <c r="H7" s="724"/>
      <c r="I7" s="724"/>
      <c r="J7" s="725"/>
      <c r="K7" s="726" t="s">
        <v>80</v>
      </c>
      <c r="L7" s="726"/>
      <c r="M7" s="727"/>
      <c r="N7"/>
      <c r="O7"/>
      <c r="P7"/>
    </row>
    <row r="8" spans="1:16" ht="13.7" hidden="1" customHeight="1" thickBot="1" x14ac:dyDescent="0.25">
      <c r="A8" s="151"/>
      <c r="B8" s="151"/>
      <c r="C8" s="151"/>
      <c r="D8" s="151"/>
      <c r="F8" s="151"/>
      <c r="G8" s="151"/>
      <c r="H8" s="151"/>
      <c r="I8" s="151"/>
      <c r="J8" s="151"/>
      <c r="K8" s="284"/>
      <c r="L8" s="151"/>
      <c r="M8" s="151"/>
    </row>
    <row r="9" spans="1:16" ht="13.7" hidden="1" customHeight="1" thickBot="1" x14ac:dyDescent="0.25">
      <c r="A9" s="283" t="s">
        <v>123</v>
      </c>
      <c r="B9" s="283"/>
      <c r="C9" s="283"/>
      <c r="D9" s="283"/>
      <c r="F9" s="283"/>
      <c r="G9" s="283"/>
      <c r="H9" s="283" t="s">
        <v>13</v>
      </c>
      <c r="I9" s="283"/>
      <c r="J9" s="283"/>
      <c r="K9" s="285"/>
      <c r="L9" s="283"/>
      <c r="M9" s="283"/>
    </row>
    <row r="10" spans="1:16" ht="13.5" hidden="1" thickBot="1" x14ac:dyDescent="0.25">
      <c r="A10" s="286"/>
      <c r="B10" s="287"/>
      <c r="C10" s="287"/>
      <c r="D10" s="288"/>
      <c r="F10" s="286"/>
      <c r="G10" s="287"/>
      <c r="H10" s="287"/>
      <c r="I10" s="287"/>
      <c r="J10" s="288"/>
      <c r="K10" s="289"/>
      <c r="L10" s="287"/>
      <c r="M10" s="288"/>
      <c r="P10" s="78"/>
    </row>
    <row r="11" spans="1:16" ht="34.5" thickBot="1" x14ac:dyDescent="0.25">
      <c r="A11" s="294" t="s">
        <v>136</v>
      </c>
      <c r="B11" s="295" t="s">
        <v>34</v>
      </c>
      <c r="C11" s="295" t="s">
        <v>124</v>
      </c>
      <c r="D11" s="296" t="s">
        <v>125</v>
      </c>
      <c r="E11" s="298" t="s">
        <v>81</v>
      </c>
      <c r="F11" s="294" t="s">
        <v>126</v>
      </c>
      <c r="G11" s="295" t="s">
        <v>147</v>
      </c>
      <c r="H11" s="295" t="s">
        <v>34</v>
      </c>
      <c r="I11" s="295" t="s">
        <v>127</v>
      </c>
      <c r="J11" s="296" t="s">
        <v>128</v>
      </c>
      <c r="K11" s="297" t="s">
        <v>129</v>
      </c>
      <c r="L11" s="295" t="s">
        <v>82</v>
      </c>
      <c r="M11" s="296" t="s">
        <v>83</v>
      </c>
    </row>
    <row r="12" spans="1:16" ht="24" customHeight="1" x14ac:dyDescent="0.2">
      <c r="A12" s="290">
        <f>'Rebate Information (Rooftops)'!B11</f>
        <v>0</v>
      </c>
      <c r="B12" s="139">
        <f>'Rebate Information (Rooftops)'!C11</f>
        <v>0</v>
      </c>
      <c r="C12" s="140">
        <f>IF(ISERROR((12/(0.875*A12))*B12*'Rebate Information (Rooftops)'!A11),0,(12/(0.875*A12))*B12*'Rebate Information (Rooftops)'!A11)</f>
        <v>0</v>
      </c>
      <c r="D12" s="300">
        <f>IF(ISERROR((12/A12)*B12*'Rebate Information (Rooftops)'!A11*E12),0,(12/A12)*B12*'Rebate Information (Rooftops)'!A11*E12)</f>
        <v>0</v>
      </c>
      <c r="E12" s="299">
        <f>'Rebate Information (Rooftops)'!L11</f>
        <v>0</v>
      </c>
      <c r="F12" s="291" t="str">
        <f>CONCATENATE('Rebate Information (Rooftops)'!E11," ",'Rebate Information (Rooftops)'!F11)</f>
        <v xml:space="preserve"> </v>
      </c>
      <c r="G12" s="290">
        <f>'Rebate Information (Rooftops)'!J11</f>
        <v>0</v>
      </c>
      <c r="H12" s="445">
        <f>'Rebate Information (Rooftops)'!K11</f>
        <v>0</v>
      </c>
      <c r="I12" s="140">
        <f>IF(ISERROR((12/(0.875*G12))*H12*'Rebate Information (Rooftops)'!G11),0,(12/(0.875*G12))*H12*'Rebate Information (Rooftops)'!G11)</f>
        <v>0</v>
      </c>
      <c r="J12" s="300">
        <f>IF(ISERROR((12/G12)*H12*'Rebate Information (Rooftops)'!G11*E12),0,(12/G12)*H12*'Rebate Information (Rooftops)'!G11*E12)</f>
        <v>0</v>
      </c>
      <c r="K12" s="292">
        <f t="shared" ref="K12:K18" si="0">IFERROR(IF(ISERROR(C12-I12),"",C12-I12)*0.9,"")</f>
        <v>0</v>
      </c>
      <c r="L12" s="446">
        <f t="shared" ref="L12:L18" si="1">IF(ISERROR(D12-J12),"",D12-J12)</f>
        <v>0</v>
      </c>
      <c r="M12" s="293">
        <f t="shared" ref="M12:M18" si="2">IFERROR(L12*$L$3,"")</f>
        <v>0</v>
      </c>
    </row>
    <row r="13" spans="1:16" ht="24" customHeight="1" x14ac:dyDescent="0.2">
      <c r="A13" s="290">
        <f>'Rebate Information (Rooftops)'!B12</f>
        <v>0</v>
      </c>
      <c r="B13" s="139">
        <f>'Rebate Information (Rooftops)'!C12</f>
        <v>0</v>
      </c>
      <c r="C13" s="140">
        <f>IF(ISERROR((12/(0.875*A13))*B13*'Rebate Information (Rooftops)'!A12),0,(12/(0.875*A13))*B13*'Rebate Information (Rooftops)'!A12)</f>
        <v>0</v>
      </c>
      <c r="D13" s="300">
        <f>IF(ISERROR((12/A13)*B13*'Rebate Information (Rooftops)'!A12*E13),0,(12/A13)*B13*'Rebate Information (Rooftops)'!A12*E13)</f>
        <v>0</v>
      </c>
      <c r="E13" s="299">
        <f>'Rebate Information (Rooftops)'!L12</f>
        <v>0</v>
      </c>
      <c r="F13" s="291" t="str">
        <f>CONCATENATE('Rebate Information (Rooftops)'!E12," ",'Rebate Information (Rooftops)'!F12)</f>
        <v xml:space="preserve"> </v>
      </c>
      <c r="G13" s="290">
        <f>'Rebate Information (Rooftops)'!J12</f>
        <v>0</v>
      </c>
      <c r="H13" s="445">
        <f>'Rebate Information (Rooftops)'!K12</f>
        <v>0</v>
      </c>
      <c r="I13" s="140">
        <f>IF(ISERROR((12/(0.875*G13))*H13*'Rebate Information (Rooftops)'!G12),0,(12/(0.875*G13))*H13*'Rebate Information (Rooftops)'!G12)</f>
        <v>0</v>
      </c>
      <c r="J13" s="300">
        <f>IF(ISERROR((12/G13)*H13*'Rebate Information (Rooftops)'!G12*E13),0,(12/G13)*H13*'Rebate Information (Rooftops)'!G12*E13)</f>
        <v>0</v>
      </c>
      <c r="K13" s="292">
        <f t="shared" si="0"/>
        <v>0</v>
      </c>
      <c r="L13" s="446">
        <f t="shared" si="1"/>
        <v>0</v>
      </c>
      <c r="M13" s="293">
        <f t="shared" si="2"/>
        <v>0</v>
      </c>
    </row>
    <row r="14" spans="1:16" ht="24" customHeight="1" x14ac:dyDescent="0.2">
      <c r="A14" s="290">
        <f>'Rebate Information (Rooftops)'!B13</f>
        <v>0</v>
      </c>
      <c r="B14" s="139">
        <f>'Rebate Information (Rooftops)'!C13</f>
        <v>0</v>
      </c>
      <c r="C14" s="140">
        <f>IF(ISERROR((12/(0.875*A14))*B14*'Rebate Information (Rooftops)'!A13),0,(12/(0.875*A14))*B14*'Rebate Information (Rooftops)'!A13)</f>
        <v>0</v>
      </c>
      <c r="D14" s="300">
        <f>IF(ISERROR((12/A14)*B14*'Rebate Information (Rooftops)'!A13*E14),0,(12/A14)*B14*'Rebate Information (Rooftops)'!A13*E14)</f>
        <v>0</v>
      </c>
      <c r="E14" s="299">
        <f>'Rebate Information (Rooftops)'!L13</f>
        <v>0</v>
      </c>
      <c r="F14" s="291" t="str">
        <f>CONCATENATE('Rebate Information (Rooftops)'!E13," ",'Rebate Information (Rooftops)'!F13)</f>
        <v xml:space="preserve"> </v>
      </c>
      <c r="G14" s="290">
        <f>'Rebate Information (Rooftops)'!J13</f>
        <v>0</v>
      </c>
      <c r="H14" s="445">
        <f>'Rebate Information (Rooftops)'!K13</f>
        <v>0</v>
      </c>
      <c r="I14" s="140">
        <f>IF(ISERROR((12/(0.875*G14))*H14*'Rebate Information (Rooftops)'!G13),0,(12/(0.875*G14))*H14*'Rebate Information (Rooftops)'!G13)</f>
        <v>0</v>
      </c>
      <c r="J14" s="300">
        <f>IF(ISERROR((12/G14)*H14*'Rebate Information (Rooftops)'!G13*E14),0,(12/G14)*H14*'Rebate Information (Rooftops)'!G13*E14)</f>
        <v>0</v>
      </c>
      <c r="K14" s="292">
        <f t="shared" si="0"/>
        <v>0</v>
      </c>
      <c r="L14" s="446">
        <f t="shared" si="1"/>
        <v>0</v>
      </c>
      <c r="M14" s="293">
        <f t="shared" si="2"/>
        <v>0</v>
      </c>
    </row>
    <row r="15" spans="1:16" ht="24" customHeight="1" x14ac:dyDescent="0.2">
      <c r="A15" s="290">
        <f>'Rebate Information (Rooftops)'!B14</f>
        <v>0</v>
      </c>
      <c r="B15" s="139">
        <f>'Rebate Information (Rooftops)'!C14</f>
        <v>0</v>
      </c>
      <c r="C15" s="140">
        <f>IF(ISERROR((12/(0.875*A15))*B15*'Rebate Information (Rooftops)'!A14),0,(12/(0.875*A15))*B15*'Rebate Information (Rooftops)'!A14)</f>
        <v>0</v>
      </c>
      <c r="D15" s="300">
        <f>IF(ISERROR((12/A15)*B15*'Rebate Information (Rooftops)'!A14*E15),0,(12/A15)*B15*'Rebate Information (Rooftops)'!A14*E15)</f>
        <v>0</v>
      </c>
      <c r="E15" s="299">
        <f>'Rebate Information (Rooftops)'!L14</f>
        <v>0</v>
      </c>
      <c r="F15" s="291" t="str">
        <f>CONCATENATE('Rebate Information (Rooftops)'!E14," ",'Rebate Information (Rooftops)'!F14)</f>
        <v xml:space="preserve"> </v>
      </c>
      <c r="G15" s="290">
        <f>'Rebate Information (Rooftops)'!J14</f>
        <v>0</v>
      </c>
      <c r="H15" s="445">
        <f>'Rebate Information (Rooftops)'!K14</f>
        <v>0</v>
      </c>
      <c r="I15" s="140">
        <f>IF(ISERROR((12/(0.875*G15))*H15*'Rebate Information (Rooftops)'!G14),0,(12/(0.875*G15))*H15*'Rebate Information (Rooftops)'!G14)</f>
        <v>0</v>
      </c>
      <c r="J15" s="300">
        <f>IF(ISERROR((12/G15)*H15*'Rebate Information (Rooftops)'!G14*E15),0,(12/G15)*H15*'Rebate Information (Rooftops)'!G14*E15)</f>
        <v>0</v>
      </c>
      <c r="K15" s="292">
        <f t="shared" si="0"/>
        <v>0</v>
      </c>
      <c r="L15" s="446">
        <f t="shared" si="1"/>
        <v>0</v>
      </c>
      <c r="M15" s="293">
        <f t="shared" si="2"/>
        <v>0</v>
      </c>
    </row>
    <row r="16" spans="1:16" ht="24" customHeight="1" x14ac:dyDescent="0.2">
      <c r="A16" s="290">
        <f>'Rebate Information (Rooftops)'!B15</f>
        <v>0</v>
      </c>
      <c r="B16" s="139">
        <f>'Rebate Information (Rooftops)'!C15</f>
        <v>0</v>
      </c>
      <c r="C16" s="140">
        <f>IF(ISERROR((12/(0.875*A16))*B16*'Rebate Information (Rooftops)'!A15),0,(12/(0.875*A16))*B16*'Rebate Information (Rooftops)'!A15)</f>
        <v>0</v>
      </c>
      <c r="D16" s="300">
        <f>IF(ISERROR((12/A16)*B16*'Rebate Information (Rooftops)'!A15*E16),0,(12/A16)*B16*'Rebate Information (Rooftops)'!A15*E16)</f>
        <v>0</v>
      </c>
      <c r="E16" s="299">
        <f>'Rebate Information (Rooftops)'!L15</f>
        <v>0</v>
      </c>
      <c r="F16" s="291" t="str">
        <f>CONCATENATE('Rebate Information (Rooftops)'!E15," ",'Rebate Information (Rooftops)'!F15)</f>
        <v xml:space="preserve"> </v>
      </c>
      <c r="G16" s="290">
        <f>'Rebate Information (Rooftops)'!J15</f>
        <v>0</v>
      </c>
      <c r="H16" s="445">
        <f>'Rebate Information (Rooftops)'!K15</f>
        <v>0</v>
      </c>
      <c r="I16" s="140">
        <f>IF(ISERROR((12/(0.875*G16))*H16*'Rebate Information (Rooftops)'!G15),0,(12/(0.875*G16))*H16*'Rebate Information (Rooftops)'!G15)</f>
        <v>0</v>
      </c>
      <c r="J16" s="300">
        <f>IF(ISERROR((12/G16)*H16*'Rebate Information (Rooftops)'!G15*E16),0,(12/G16)*H16*'Rebate Information (Rooftops)'!G15*E16)</f>
        <v>0</v>
      </c>
      <c r="K16" s="292">
        <f t="shared" si="0"/>
        <v>0</v>
      </c>
      <c r="L16" s="446">
        <f t="shared" si="1"/>
        <v>0</v>
      </c>
      <c r="M16" s="293">
        <f t="shared" si="2"/>
        <v>0</v>
      </c>
    </row>
    <row r="17" spans="1:13" ht="24" customHeight="1" x14ac:dyDescent="0.2">
      <c r="A17" s="290">
        <f>'Rebate Information (Rooftops)'!B16</f>
        <v>0</v>
      </c>
      <c r="B17" s="139">
        <f>'Rebate Information (Rooftops)'!C16</f>
        <v>0</v>
      </c>
      <c r="C17" s="140">
        <f>IF(ISERROR((12/(0.875*A17))*B17*'Rebate Information (Rooftops)'!A16),0,(12/(0.875*A17))*B17*'Rebate Information (Rooftops)'!A16)</f>
        <v>0</v>
      </c>
      <c r="D17" s="300">
        <f>IF(ISERROR((12/A17)*B17*'Rebate Information (Rooftops)'!A16*E17),0,(12/A17)*B17*'Rebate Information (Rooftops)'!A16*E17)</f>
        <v>0</v>
      </c>
      <c r="E17" s="299">
        <f>'Rebate Information (Rooftops)'!L16</f>
        <v>0</v>
      </c>
      <c r="F17" s="291" t="str">
        <f>CONCATENATE('Rebate Information (Rooftops)'!E16," ",'Rebate Information (Rooftops)'!F16)</f>
        <v xml:space="preserve"> </v>
      </c>
      <c r="G17" s="290">
        <f>'Rebate Information (Rooftops)'!J16</f>
        <v>0</v>
      </c>
      <c r="H17" s="445">
        <f>'Rebate Information (Rooftops)'!K16</f>
        <v>0</v>
      </c>
      <c r="I17" s="140">
        <f>IF(ISERROR((12/(0.875*G17))*H17*'Rebate Information (Rooftops)'!G16),0,(12/(0.875*G17))*H17*'Rebate Information (Rooftops)'!G16)</f>
        <v>0</v>
      </c>
      <c r="J17" s="300">
        <f>IF(ISERROR((12/G17)*H17*'Rebate Information (Rooftops)'!G16*E17),0,(12/G17)*H17*'Rebate Information (Rooftops)'!G16*E17)</f>
        <v>0</v>
      </c>
      <c r="K17" s="292">
        <f t="shared" si="0"/>
        <v>0</v>
      </c>
      <c r="L17" s="446">
        <f t="shared" si="1"/>
        <v>0</v>
      </c>
      <c r="M17" s="293">
        <f t="shared" si="2"/>
        <v>0</v>
      </c>
    </row>
    <row r="18" spans="1:13" ht="24" customHeight="1" x14ac:dyDescent="0.2">
      <c r="A18" s="290">
        <f>'Rebate Information (Rooftops)'!B17</f>
        <v>0</v>
      </c>
      <c r="B18" s="139">
        <f>'Rebate Information (Rooftops)'!C17</f>
        <v>0</v>
      </c>
      <c r="C18" s="140">
        <f>IF(ISERROR((12/(0.875*A18))*B18*'Rebate Information (Rooftops)'!A17),0,(12/(0.875*A18))*B18*'Rebate Information (Rooftops)'!A17)</f>
        <v>0</v>
      </c>
      <c r="D18" s="300">
        <f>IF(ISERROR((12/A18)*B18*'Rebate Information (Rooftops)'!A17*E18),0,(12/A18)*B18*'Rebate Information (Rooftops)'!A17*E18)</f>
        <v>0</v>
      </c>
      <c r="E18" s="299">
        <f>'Rebate Information (Rooftops)'!L17</f>
        <v>0</v>
      </c>
      <c r="F18" s="291" t="str">
        <f>CONCATENATE('Rebate Information (Rooftops)'!E17," ",'Rebate Information (Rooftops)'!F17)</f>
        <v xml:space="preserve"> </v>
      </c>
      <c r="G18" s="290">
        <f>'Rebate Information (Rooftops)'!J17</f>
        <v>0</v>
      </c>
      <c r="H18" s="445">
        <f>'Rebate Information (Rooftops)'!K17</f>
        <v>0</v>
      </c>
      <c r="I18" s="140">
        <f>IF(ISERROR((12/(0.875*G18))*H18*'Rebate Information (Rooftops)'!G17),0,(12/(0.875*G18))*H18*'Rebate Information (Rooftops)'!G17)</f>
        <v>0</v>
      </c>
      <c r="J18" s="300">
        <f>IF(ISERROR((12/G18)*H18*'Rebate Information (Rooftops)'!G17*E18),0,(12/G18)*H18*'Rebate Information (Rooftops)'!G17*E18)</f>
        <v>0</v>
      </c>
      <c r="K18" s="292">
        <f t="shared" si="0"/>
        <v>0</v>
      </c>
      <c r="L18" s="446">
        <f t="shared" si="1"/>
        <v>0</v>
      </c>
      <c r="M18" s="293">
        <f t="shared" si="2"/>
        <v>0</v>
      </c>
    </row>
    <row r="19" spans="1:13" ht="8.25" customHeight="1" thickBot="1" x14ac:dyDescent="0.25"/>
    <row r="20" spans="1:13" ht="24" customHeight="1" thickBot="1" x14ac:dyDescent="0.25">
      <c r="A20" s="243" t="s">
        <v>123</v>
      </c>
      <c r="B20" s="244"/>
      <c r="C20" s="245" t="s">
        <v>129</v>
      </c>
      <c r="D20" s="246" t="s">
        <v>82</v>
      </c>
      <c r="F20" s="254" t="s">
        <v>13</v>
      </c>
      <c r="G20" s="255"/>
      <c r="H20" s="255"/>
      <c r="I20" s="256" t="s">
        <v>129</v>
      </c>
      <c r="J20" s="257" t="s">
        <v>82</v>
      </c>
    </row>
    <row r="21" spans="1:13" ht="21" customHeight="1" x14ac:dyDescent="0.2">
      <c r="A21" s="247"/>
      <c r="B21" s="248" t="s">
        <v>176</v>
      </c>
      <c r="C21" s="153">
        <f>SUM(C12:C18)</f>
        <v>0</v>
      </c>
      <c r="D21" s="249">
        <f>SUM(D12:D18)</f>
        <v>0</v>
      </c>
      <c r="F21" s="258"/>
      <c r="G21" s="259"/>
      <c r="H21" s="260" t="s">
        <v>176</v>
      </c>
      <c r="I21" s="154">
        <f>SUM(I12:I18)</f>
        <v>0</v>
      </c>
      <c r="J21" s="261">
        <f>SUM(J12:J18)</f>
        <v>0</v>
      </c>
    </row>
    <row r="22" spans="1:13" ht="21" customHeight="1" thickBot="1" x14ac:dyDescent="0.25">
      <c r="A22" s="721" t="s">
        <v>177</v>
      </c>
      <c r="B22" s="722"/>
      <c r="C22" s="252"/>
      <c r="D22" s="253">
        <f>D21*$L$3</f>
        <v>0</v>
      </c>
      <c r="E22" s="242"/>
      <c r="F22" s="731" t="s">
        <v>178</v>
      </c>
      <c r="G22" s="732"/>
      <c r="H22" s="732"/>
      <c r="I22" s="264"/>
      <c r="J22" s="265">
        <f>J21*$L$3</f>
        <v>0</v>
      </c>
    </row>
    <row r="23" spans="1:13" ht="7.5" customHeight="1" thickBot="1" x14ac:dyDescent="0.25">
      <c r="E23" s="71"/>
    </row>
    <row r="24" spans="1:13" ht="13.5" thickBot="1" x14ac:dyDescent="0.25">
      <c r="F24" s="266" t="s">
        <v>87</v>
      </c>
      <c r="G24" s="267"/>
      <c r="H24" s="267"/>
      <c r="I24" s="268" t="s">
        <v>129</v>
      </c>
      <c r="J24" s="269" t="s">
        <v>82</v>
      </c>
    </row>
    <row r="25" spans="1:13" ht="21" customHeight="1" x14ac:dyDescent="0.2">
      <c r="F25" s="716" t="s">
        <v>179</v>
      </c>
      <c r="G25" s="717"/>
      <c r="H25" s="718"/>
      <c r="I25" s="166">
        <f>(C21-I21)*0.9</f>
        <v>0</v>
      </c>
      <c r="J25" s="273">
        <f>D21-J21</f>
        <v>0</v>
      </c>
    </row>
    <row r="26" spans="1:13" ht="21" customHeight="1" thickBot="1" x14ac:dyDescent="0.25">
      <c r="F26" s="719" t="s">
        <v>180</v>
      </c>
      <c r="G26" s="720"/>
      <c r="H26" s="720"/>
      <c r="I26" s="156"/>
      <c r="J26" s="276">
        <f>D22-J22</f>
        <v>0</v>
      </c>
    </row>
    <row r="32" spans="1:13" x14ac:dyDescent="0.2">
      <c r="A32" s="177"/>
    </row>
  </sheetData>
  <sheetProtection selectLockedCells="1"/>
  <mergeCells count="7">
    <mergeCell ref="F25:H25"/>
    <mergeCell ref="F26:H26"/>
    <mergeCell ref="A22:B22"/>
    <mergeCell ref="F7:J7"/>
    <mergeCell ref="K7:M7"/>
    <mergeCell ref="A7:D7"/>
    <mergeCell ref="F22:H22"/>
  </mergeCells>
  <phoneticPr fontId="0" type="noConversion"/>
  <conditionalFormatting sqref="F10 M10 A10:C12 L11:M11 E11:E12 D12 F12">
    <cfRule type="cellIs" dxfId="10" priority="26" stopIfTrue="1" operator="equal">
      <formula>0</formula>
    </cfRule>
  </conditionalFormatting>
  <conditionalFormatting sqref="G12:J18">
    <cfRule type="cellIs" dxfId="9" priority="1" stopIfTrue="1" operator="equal">
      <formula>0</formula>
    </cfRule>
  </conditionalFormatting>
  <conditionalFormatting sqref="M12:M18 A13:F18">
    <cfRule type="cellIs" dxfId="8" priority="3" stopIfTrue="1" operator="equal">
      <formula>0</formula>
    </cfRule>
  </conditionalFormatting>
  <printOptions horizontalCentered="1"/>
  <pageMargins left="0.2" right="0.2" top="0.75" bottom="0.75" header="0.3" footer="0.3"/>
  <pageSetup scale="91" orientation="landscape"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2:AB35"/>
  <sheetViews>
    <sheetView zoomScale="85" zoomScaleNormal="85" workbookViewId="0">
      <selection activeCell="M28" sqref="M28:N28"/>
    </sheetView>
  </sheetViews>
  <sheetFormatPr defaultRowHeight="12.75" x14ac:dyDescent="0.2"/>
  <cols>
    <col min="1" max="1" width="8.42578125" customWidth="1"/>
    <col min="2" max="2" width="9.140625" customWidth="1"/>
    <col min="3" max="3" width="11" customWidth="1"/>
    <col min="4" max="4" width="9.5703125" customWidth="1"/>
    <col min="5" max="5" width="8.5703125" customWidth="1"/>
    <col min="6" max="6" width="11.85546875" customWidth="1"/>
    <col min="7" max="7" width="13.7109375" customWidth="1"/>
    <col min="8" max="8" width="15.28515625" customWidth="1"/>
    <col min="9" max="9" width="31.42578125" bestFit="1" customWidth="1"/>
    <col min="10" max="10" width="9.85546875" bestFit="1" customWidth="1"/>
    <col min="11" max="11" width="9.5703125" bestFit="1" customWidth="1"/>
    <col min="12" max="12" width="8.42578125" customWidth="1"/>
    <col min="13" max="13" width="11" customWidth="1"/>
    <col min="14" max="14" width="10.5703125" customWidth="1"/>
    <col min="15" max="15" width="10.7109375" customWidth="1"/>
    <col min="16" max="21" width="12.85546875" customWidth="1"/>
  </cols>
  <sheetData>
    <row r="2" spans="1:28" ht="20.25" x14ac:dyDescent="0.2">
      <c r="A2" s="733" t="s">
        <v>71</v>
      </c>
      <c r="B2" s="734"/>
      <c r="C2" s="734"/>
      <c r="D2" s="734"/>
      <c r="E2" s="734"/>
      <c r="F2" s="734"/>
      <c r="G2" s="734"/>
      <c r="H2" s="734"/>
      <c r="I2" s="734"/>
      <c r="J2" s="734"/>
      <c r="K2" s="734"/>
      <c r="L2" s="734"/>
      <c r="M2" s="734"/>
      <c r="N2" s="734"/>
      <c r="O2" s="734"/>
      <c r="P2" s="734"/>
      <c r="Q2" s="734"/>
      <c r="R2" s="734"/>
      <c r="S2" s="734"/>
      <c r="T2" s="735"/>
      <c r="U2" s="2"/>
      <c r="V2" s="2"/>
      <c r="W2" s="2"/>
      <c r="X2" s="2"/>
      <c r="Y2" s="2"/>
      <c r="Z2" s="2"/>
    </row>
    <row r="3" spans="1:28" ht="17.25" customHeight="1" x14ac:dyDescent="0.2">
      <c r="A3" s="14" t="s">
        <v>130</v>
      </c>
      <c r="B3" s="72"/>
      <c r="C3" s="72"/>
      <c r="D3" s="649" t="s">
        <v>76</v>
      </c>
      <c r="E3" s="649"/>
      <c r="F3" s="649"/>
    </row>
    <row r="4" spans="1:28" x14ac:dyDescent="0.2">
      <c r="A4" s="72"/>
      <c r="B4" s="75">
        <v>2</v>
      </c>
      <c r="C4" s="72"/>
      <c r="D4" s="649" t="s">
        <v>75</v>
      </c>
      <c r="E4" s="649"/>
      <c r="F4" s="649"/>
    </row>
    <row r="5" spans="1:28" x14ac:dyDescent="0.2">
      <c r="A5" s="72"/>
      <c r="B5" s="75"/>
      <c r="C5" s="72"/>
      <c r="D5" s="74"/>
      <c r="E5" s="77"/>
      <c r="F5" s="77"/>
      <c r="G5" s="63"/>
      <c r="H5" s="63"/>
      <c r="I5" s="63"/>
      <c r="J5" s="63"/>
      <c r="K5" s="63"/>
      <c r="L5" s="63"/>
      <c r="M5" s="63"/>
      <c r="N5" s="63"/>
      <c r="O5" s="63"/>
      <c r="P5" s="63"/>
      <c r="Q5" s="63"/>
      <c r="R5" s="63"/>
      <c r="S5" s="63"/>
      <c r="T5" s="63"/>
    </row>
    <row r="6" spans="1:28" ht="26.25" customHeight="1" x14ac:dyDescent="0.2">
      <c r="A6" s="739" t="str">
        <f>IF(B4=1,"Base Efficiency","EXISTING SYSTEM                             (PLEASE ENTER)")</f>
        <v>EXISTING SYSTEM                             (PLEASE ENTER)</v>
      </c>
      <c r="B6" s="740"/>
      <c r="C6" s="741"/>
      <c r="D6" s="744" t="s">
        <v>13</v>
      </c>
      <c r="E6" s="745"/>
      <c r="F6" s="745"/>
      <c r="G6" s="745"/>
      <c r="H6" s="745"/>
      <c r="I6" s="745"/>
      <c r="J6" s="745"/>
      <c r="K6" s="745"/>
      <c r="L6" s="745"/>
      <c r="M6" s="745"/>
      <c r="N6" s="746"/>
      <c r="O6" s="744" t="s">
        <v>14</v>
      </c>
      <c r="P6" s="745"/>
      <c r="Q6" s="745"/>
      <c r="R6" s="745"/>
      <c r="S6" s="745"/>
      <c r="T6" s="170"/>
    </row>
    <row r="7" spans="1:28" ht="26.25" customHeight="1" x14ac:dyDescent="0.2">
      <c r="A7" s="121" t="s">
        <v>16</v>
      </c>
      <c r="B7" s="121" t="s">
        <v>17</v>
      </c>
      <c r="C7" s="130" t="s">
        <v>18</v>
      </c>
      <c r="D7" s="131" t="s">
        <v>19</v>
      </c>
      <c r="E7" s="738" t="s">
        <v>20</v>
      </c>
      <c r="F7" s="738"/>
      <c r="G7" s="121" t="s">
        <v>21</v>
      </c>
      <c r="H7" s="121" t="s">
        <v>22</v>
      </c>
      <c r="I7" s="121" t="s">
        <v>23</v>
      </c>
      <c r="J7" s="121" t="s">
        <v>23</v>
      </c>
      <c r="K7" s="121" t="s">
        <v>24</v>
      </c>
      <c r="L7" s="121" t="s">
        <v>25</v>
      </c>
      <c r="M7" s="121" t="s">
        <v>26</v>
      </c>
      <c r="N7" s="130" t="s">
        <v>27</v>
      </c>
      <c r="O7" s="131" t="s">
        <v>28</v>
      </c>
      <c r="P7" s="121" t="s">
        <v>29</v>
      </c>
      <c r="Q7" s="121" t="s">
        <v>30</v>
      </c>
      <c r="R7" s="121" t="s">
        <v>31</v>
      </c>
      <c r="S7" s="121" t="s">
        <v>32</v>
      </c>
      <c r="T7" s="121" t="s">
        <v>33</v>
      </c>
      <c r="U7" s="3"/>
      <c r="X7" s="5"/>
      <c r="Y7" s="5"/>
      <c r="Z7" s="5"/>
      <c r="AA7" s="5"/>
      <c r="AB7" s="5"/>
    </row>
    <row r="8" spans="1:28" s="10" customFormat="1" ht="56.25" customHeight="1" x14ac:dyDescent="0.2">
      <c r="A8" s="122" t="s">
        <v>45</v>
      </c>
      <c r="B8" s="123" t="str">
        <f>IF(B4=1,"Base IPLV","Existing kW/Ton")</f>
        <v>Existing kW/Ton</v>
      </c>
      <c r="C8" s="123" t="s">
        <v>34</v>
      </c>
      <c r="D8" s="124" t="s">
        <v>55</v>
      </c>
      <c r="E8" s="747" t="s">
        <v>134</v>
      </c>
      <c r="F8" s="748"/>
      <c r="G8" s="125" t="s">
        <v>35</v>
      </c>
      <c r="H8" s="126" t="s">
        <v>56</v>
      </c>
      <c r="I8" s="127" t="s">
        <v>182</v>
      </c>
      <c r="J8" s="126" t="s">
        <v>57</v>
      </c>
      <c r="K8" s="126" t="s">
        <v>58</v>
      </c>
      <c r="L8" s="127" t="s">
        <v>34</v>
      </c>
      <c r="M8" s="126" t="s">
        <v>59</v>
      </c>
      <c r="N8" s="132" t="s">
        <v>36</v>
      </c>
      <c r="O8" s="128" t="s">
        <v>60</v>
      </c>
      <c r="P8" s="126" t="s">
        <v>61</v>
      </c>
      <c r="Q8" s="126" t="s">
        <v>62</v>
      </c>
      <c r="R8" s="126" t="s">
        <v>159</v>
      </c>
      <c r="S8" s="126" t="s">
        <v>70</v>
      </c>
      <c r="T8" s="129" t="s">
        <v>63</v>
      </c>
      <c r="U8" s="4"/>
      <c r="X8" s="5"/>
      <c r="Y8" s="5"/>
      <c r="Z8" s="5"/>
      <c r="AA8" s="5"/>
      <c r="AB8" s="5"/>
    </row>
    <row r="9" spans="1:28" s="5" customFormat="1" ht="24.95" customHeight="1" x14ac:dyDescent="0.2">
      <c r="A9" s="110">
        <v>55</v>
      </c>
      <c r="B9" s="168">
        <v>0.65000000000000013</v>
      </c>
      <c r="C9" s="111">
        <v>1</v>
      </c>
      <c r="D9" s="112" t="s">
        <v>48</v>
      </c>
      <c r="E9" s="742" t="s">
        <v>115</v>
      </c>
      <c r="F9" s="743"/>
      <c r="G9" s="110" t="s">
        <v>188</v>
      </c>
      <c r="H9" s="110">
        <v>55</v>
      </c>
      <c r="I9" s="110" t="str">
        <f>IF(ISERROR(VLOOKUP($D9,$A$24:$N$29,6,FALSE)),"",VLOOKUP($D9,$A$24:$N$29,6,FALSE))</f>
        <v>0.74  FLV,           0.63  IPLV</v>
      </c>
      <c r="J9" s="86">
        <f>IF(ISERROR(VLOOKUP($D9,$A$24:$N$29,11,FALSE)),"",VLOOKUP($D9,$A$24:$N$29,11,FALSE))</f>
        <v>0.63</v>
      </c>
      <c r="K9" s="110">
        <v>0.5</v>
      </c>
      <c r="L9" s="110">
        <v>1</v>
      </c>
      <c r="M9" s="110">
        <v>640</v>
      </c>
      <c r="N9" s="133">
        <v>2000</v>
      </c>
      <c r="O9" s="87">
        <f t="shared" ref="O9:O18" si="0">IF(ISERROR(VLOOKUP($D9,$A$24:$K$29,8,FALSE)),"",VLOOKUP($D9,$A$24:$K$29,8,FALSE))</f>
        <v>15</v>
      </c>
      <c r="P9" s="88">
        <f t="shared" ref="P9:P18" si="1">IF(ISERROR(H9*L9*O9),"",(H9*L9*O9))</f>
        <v>825</v>
      </c>
      <c r="Q9" s="89">
        <f t="shared" ref="Q9:Q18" si="2">IF(D9="","",IF((J9&gt;=K9),J9-K9,0))</f>
        <v>0.13</v>
      </c>
      <c r="R9" s="88">
        <f t="shared" ref="R9:R18" si="3">IF(ISERROR(VLOOKUP($D9,$A$24:$K$29,9,FALSE)),"",VLOOKUP($D9,$A$24:$K$29,9,FALSE))</f>
        <v>3.5</v>
      </c>
      <c r="S9" s="88">
        <f t="shared" ref="S9:S18" si="4">IF(ISERROR(Q9*R9*H9*L9*100),"",(Q9*R9*H9*L9*100))</f>
        <v>2502.5</v>
      </c>
      <c r="T9" s="88">
        <f>IF(ISERROR(P9+S9),"",(P9+S9))</f>
        <v>3327.5</v>
      </c>
      <c r="U9" s="4"/>
      <c r="X9"/>
      <c r="Y9"/>
      <c r="Z9" s="99"/>
      <c r="AA9"/>
      <c r="AB9"/>
    </row>
    <row r="10" spans="1:28" s="5" customFormat="1" ht="24.95" customHeight="1" x14ac:dyDescent="0.2">
      <c r="A10" s="110">
        <v>55</v>
      </c>
      <c r="B10" s="169">
        <v>0.65000000000000013</v>
      </c>
      <c r="C10" s="111">
        <v>1</v>
      </c>
      <c r="D10" s="112" t="s">
        <v>48</v>
      </c>
      <c r="E10" s="736" t="s">
        <v>112</v>
      </c>
      <c r="F10" s="737"/>
      <c r="G10" s="110" t="s">
        <v>190</v>
      </c>
      <c r="H10" s="110">
        <v>55</v>
      </c>
      <c r="I10" s="110" t="str">
        <f t="shared" ref="I10:I18" si="5">IF(ISERROR(VLOOKUP($D10,$A$24:$N$29,6,FALSE)),"",VLOOKUP($D10,$A$24:$N$29,6,FALSE))</f>
        <v>0.74  FLV,           0.63  IPLV</v>
      </c>
      <c r="J10" s="86">
        <f t="shared" ref="J10:J18" si="6">IF(ISERROR(VLOOKUP($D10,$A$24:$N$29,11,FALSE)),"",VLOOKUP($D10,$A$24:$N$29,11,FALSE))</f>
        <v>0.63</v>
      </c>
      <c r="K10" s="110">
        <v>0.6</v>
      </c>
      <c r="L10" s="110">
        <v>1</v>
      </c>
      <c r="M10" s="110">
        <v>640</v>
      </c>
      <c r="N10" s="133">
        <v>2000</v>
      </c>
      <c r="O10" s="87">
        <f t="shared" si="0"/>
        <v>15</v>
      </c>
      <c r="P10" s="88">
        <f t="shared" si="1"/>
        <v>825</v>
      </c>
      <c r="Q10" s="89">
        <f t="shared" si="2"/>
        <v>3.0000000000000027E-2</v>
      </c>
      <c r="R10" s="88">
        <f t="shared" si="3"/>
        <v>3.5</v>
      </c>
      <c r="S10" s="88">
        <f t="shared" si="4"/>
        <v>577.50000000000045</v>
      </c>
      <c r="T10" s="88">
        <f t="shared" ref="T10:T18" si="7">IF(ISERROR(P10+S10),"",(P10+S10))</f>
        <v>1402.5000000000005</v>
      </c>
      <c r="U10" s="4"/>
      <c r="X10"/>
      <c r="Y10"/>
      <c r="Z10"/>
      <c r="AA10"/>
      <c r="AB10"/>
    </row>
    <row r="11" spans="1:28" s="5" customFormat="1" ht="24.95" customHeight="1" x14ac:dyDescent="0.2">
      <c r="A11" s="110"/>
      <c r="B11" s="169"/>
      <c r="C11" s="111"/>
      <c r="D11" s="112"/>
      <c r="E11" s="736"/>
      <c r="F11" s="737"/>
      <c r="G11" s="110"/>
      <c r="H11" s="110"/>
      <c r="I11" s="110" t="str">
        <f t="shared" si="5"/>
        <v/>
      </c>
      <c r="J11" s="86" t="str">
        <f t="shared" si="6"/>
        <v/>
      </c>
      <c r="K11" s="110"/>
      <c r="L11" s="110"/>
      <c r="M11" s="110"/>
      <c r="N11" s="133"/>
      <c r="O11" s="87" t="str">
        <f t="shared" si="0"/>
        <v/>
      </c>
      <c r="P11" s="88" t="str">
        <f t="shared" si="1"/>
        <v/>
      </c>
      <c r="Q11" s="89" t="str">
        <f t="shared" si="2"/>
        <v/>
      </c>
      <c r="R11" s="88" t="str">
        <f t="shared" si="3"/>
        <v/>
      </c>
      <c r="S11" s="88" t="str">
        <f t="shared" si="4"/>
        <v/>
      </c>
      <c r="T11" s="88" t="str">
        <f t="shared" si="7"/>
        <v/>
      </c>
      <c r="U11" s="4"/>
      <c r="X11"/>
      <c r="Y11"/>
      <c r="Z11"/>
      <c r="AA11"/>
      <c r="AB11"/>
    </row>
    <row r="12" spans="1:28" s="5" customFormat="1" ht="24.95" customHeight="1" x14ac:dyDescent="0.2">
      <c r="A12" s="110"/>
      <c r="B12" s="169"/>
      <c r="C12" s="111"/>
      <c r="D12" s="112"/>
      <c r="E12" s="736"/>
      <c r="F12" s="737"/>
      <c r="G12" s="110"/>
      <c r="H12" s="110"/>
      <c r="I12" s="110" t="str">
        <f t="shared" si="5"/>
        <v/>
      </c>
      <c r="J12" s="86" t="str">
        <f t="shared" si="6"/>
        <v/>
      </c>
      <c r="K12" s="110"/>
      <c r="L12" s="110"/>
      <c r="M12" s="110"/>
      <c r="N12" s="133"/>
      <c r="O12" s="87" t="str">
        <f t="shared" si="0"/>
        <v/>
      </c>
      <c r="P12" s="88" t="str">
        <f t="shared" si="1"/>
        <v/>
      </c>
      <c r="Q12" s="89" t="str">
        <f t="shared" si="2"/>
        <v/>
      </c>
      <c r="R12" s="88" t="str">
        <f t="shared" si="3"/>
        <v/>
      </c>
      <c r="S12" s="88" t="str">
        <f t="shared" si="4"/>
        <v/>
      </c>
      <c r="T12" s="88" t="str">
        <f t="shared" si="7"/>
        <v/>
      </c>
      <c r="U12" s="4"/>
      <c r="X12"/>
      <c r="Y12"/>
      <c r="Z12"/>
      <c r="AA12"/>
      <c r="AB12"/>
    </row>
    <row r="13" spans="1:28" s="5" customFormat="1" ht="24.95" customHeight="1" x14ac:dyDescent="0.2">
      <c r="A13" s="110"/>
      <c r="B13" s="169"/>
      <c r="C13" s="111"/>
      <c r="D13" s="112"/>
      <c r="E13" s="736"/>
      <c r="F13" s="737"/>
      <c r="G13" s="110"/>
      <c r="H13" s="110"/>
      <c r="I13" s="110" t="str">
        <f t="shared" si="5"/>
        <v/>
      </c>
      <c r="J13" s="86" t="str">
        <f t="shared" si="6"/>
        <v/>
      </c>
      <c r="K13" s="110"/>
      <c r="L13" s="110"/>
      <c r="M13" s="110"/>
      <c r="N13" s="133"/>
      <c r="O13" s="87" t="str">
        <f t="shared" si="0"/>
        <v/>
      </c>
      <c r="P13" s="88" t="str">
        <f t="shared" si="1"/>
        <v/>
      </c>
      <c r="Q13" s="89" t="str">
        <f t="shared" si="2"/>
        <v/>
      </c>
      <c r="R13" s="88" t="str">
        <f t="shared" si="3"/>
        <v/>
      </c>
      <c r="S13" s="88" t="str">
        <f t="shared" si="4"/>
        <v/>
      </c>
      <c r="T13" s="88" t="str">
        <f t="shared" si="7"/>
        <v/>
      </c>
      <c r="U13" s="4"/>
      <c r="X13"/>
      <c r="Y13"/>
      <c r="Z13"/>
      <c r="AA13"/>
      <c r="AB13"/>
    </row>
    <row r="14" spans="1:28" s="5" customFormat="1" ht="24.95" customHeight="1" x14ac:dyDescent="0.2">
      <c r="A14" s="110"/>
      <c r="B14" s="169"/>
      <c r="C14" s="111"/>
      <c r="D14" s="112"/>
      <c r="E14" s="736"/>
      <c r="F14" s="737"/>
      <c r="G14" s="110"/>
      <c r="H14" s="110"/>
      <c r="I14" s="110" t="str">
        <f t="shared" si="5"/>
        <v/>
      </c>
      <c r="J14" s="86" t="str">
        <f t="shared" si="6"/>
        <v/>
      </c>
      <c r="K14" s="110"/>
      <c r="L14" s="110"/>
      <c r="M14" s="110"/>
      <c r="N14" s="133"/>
      <c r="O14" s="87" t="str">
        <f t="shared" si="0"/>
        <v/>
      </c>
      <c r="P14" s="88" t="str">
        <f t="shared" si="1"/>
        <v/>
      </c>
      <c r="Q14" s="89" t="str">
        <f t="shared" si="2"/>
        <v/>
      </c>
      <c r="R14" s="88" t="str">
        <f t="shared" si="3"/>
        <v/>
      </c>
      <c r="S14" s="88" t="str">
        <f t="shared" si="4"/>
        <v/>
      </c>
      <c r="T14" s="88" t="str">
        <f t="shared" si="7"/>
        <v/>
      </c>
      <c r="U14" s="4"/>
      <c r="X14"/>
      <c r="Y14"/>
      <c r="Z14"/>
      <c r="AA14"/>
      <c r="AB14"/>
    </row>
    <row r="15" spans="1:28" s="5" customFormat="1" ht="24.95" customHeight="1" x14ac:dyDescent="0.2">
      <c r="A15" s="110"/>
      <c r="B15" s="169"/>
      <c r="C15" s="111"/>
      <c r="D15" s="112"/>
      <c r="E15" s="736"/>
      <c r="F15" s="737"/>
      <c r="G15" s="110"/>
      <c r="H15" s="110"/>
      <c r="I15" s="110" t="str">
        <f t="shared" si="5"/>
        <v/>
      </c>
      <c r="J15" s="86" t="str">
        <f t="shared" si="6"/>
        <v/>
      </c>
      <c r="K15" s="110"/>
      <c r="L15" s="110"/>
      <c r="M15" s="110"/>
      <c r="N15" s="133"/>
      <c r="O15" s="87" t="str">
        <f t="shared" si="0"/>
        <v/>
      </c>
      <c r="P15" s="88" t="str">
        <f t="shared" si="1"/>
        <v/>
      </c>
      <c r="Q15" s="89" t="str">
        <f t="shared" si="2"/>
        <v/>
      </c>
      <c r="R15" s="88" t="str">
        <f t="shared" si="3"/>
        <v/>
      </c>
      <c r="S15" s="88" t="str">
        <f t="shared" si="4"/>
        <v/>
      </c>
      <c r="T15" s="88" t="str">
        <f t="shared" si="7"/>
        <v/>
      </c>
      <c r="U15" s="4"/>
      <c r="X15"/>
      <c r="Y15"/>
      <c r="Z15"/>
      <c r="AA15"/>
      <c r="AB15"/>
    </row>
    <row r="16" spans="1:28" s="5" customFormat="1" ht="24.95" customHeight="1" x14ac:dyDescent="0.2">
      <c r="A16" s="110"/>
      <c r="B16" s="169"/>
      <c r="C16" s="111"/>
      <c r="D16" s="112"/>
      <c r="E16" s="736"/>
      <c r="F16" s="737"/>
      <c r="G16" s="110"/>
      <c r="H16" s="110"/>
      <c r="I16" s="110" t="str">
        <f t="shared" si="5"/>
        <v/>
      </c>
      <c r="J16" s="86" t="str">
        <f t="shared" si="6"/>
        <v/>
      </c>
      <c r="K16" s="110"/>
      <c r="L16" s="110"/>
      <c r="M16" s="110"/>
      <c r="N16" s="133"/>
      <c r="O16" s="87" t="str">
        <f t="shared" si="0"/>
        <v/>
      </c>
      <c r="P16" s="88" t="str">
        <f t="shared" si="1"/>
        <v/>
      </c>
      <c r="Q16" s="89" t="str">
        <f t="shared" si="2"/>
        <v/>
      </c>
      <c r="R16" s="88" t="str">
        <f t="shared" si="3"/>
        <v/>
      </c>
      <c r="S16" s="88" t="str">
        <f t="shared" si="4"/>
        <v/>
      </c>
      <c r="T16" s="88" t="str">
        <f t="shared" si="7"/>
        <v/>
      </c>
      <c r="U16" s="4"/>
      <c r="X16"/>
      <c r="Y16"/>
      <c r="Z16"/>
      <c r="AA16"/>
      <c r="AB16"/>
    </row>
    <row r="17" spans="1:28" s="5" customFormat="1" ht="24.95" customHeight="1" x14ac:dyDescent="0.2">
      <c r="A17" s="110"/>
      <c r="B17" s="169"/>
      <c r="C17" s="111"/>
      <c r="D17" s="112"/>
      <c r="E17" s="736"/>
      <c r="F17" s="737"/>
      <c r="G17" s="110"/>
      <c r="H17" s="110"/>
      <c r="I17" s="110" t="str">
        <f t="shared" si="5"/>
        <v/>
      </c>
      <c r="J17" s="86" t="str">
        <f t="shared" si="6"/>
        <v/>
      </c>
      <c r="K17" s="110"/>
      <c r="L17" s="110"/>
      <c r="M17" s="110"/>
      <c r="N17" s="133"/>
      <c r="O17" s="87" t="str">
        <f t="shared" si="0"/>
        <v/>
      </c>
      <c r="P17" s="88" t="str">
        <f t="shared" si="1"/>
        <v/>
      </c>
      <c r="Q17" s="89" t="str">
        <f t="shared" si="2"/>
        <v/>
      </c>
      <c r="R17" s="88" t="str">
        <f t="shared" si="3"/>
        <v/>
      </c>
      <c r="S17" s="88" t="str">
        <f t="shared" si="4"/>
        <v/>
      </c>
      <c r="T17" s="88" t="str">
        <f t="shared" si="7"/>
        <v/>
      </c>
      <c r="U17" s="4"/>
      <c r="X17"/>
      <c r="Y17"/>
      <c r="Z17"/>
      <c r="AA17"/>
      <c r="AB17"/>
    </row>
    <row r="18" spans="1:28" s="5" customFormat="1" ht="24.95" customHeight="1" thickBot="1" x14ac:dyDescent="0.25">
      <c r="A18" s="110"/>
      <c r="B18" s="169"/>
      <c r="C18" s="111"/>
      <c r="D18" s="113"/>
      <c r="E18" s="736"/>
      <c r="F18" s="737"/>
      <c r="G18" s="110"/>
      <c r="H18" s="110"/>
      <c r="I18" s="110" t="str">
        <f t="shared" si="5"/>
        <v/>
      </c>
      <c r="J18" s="86" t="str">
        <f t="shared" si="6"/>
        <v/>
      </c>
      <c r="K18" s="110"/>
      <c r="L18" s="110"/>
      <c r="M18" s="110"/>
      <c r="N18" s="133"/>
      <c r="O18" s="87" t="str">
        <f t="shared" si="0"/>
        <v/>
      </c>
      <c r="P18" s="88" t="str">
        <f t="shared" si="1"/>
        <v/>
      </c>
      <c r="Q18" s="89" t="str">
        <f t="shared" si="2"/>
        <v/>
      </c>
      <c r="R18" s="88" t="str">
        <f t="shared" si="3"/>
        <v/>
      </c>
      <c r="S18" s="88" t="str">
        <f t="shared" si="4"/>
        <v/>
      </c>
      <c r="T18" s="88" t="str">
        <f t="shared" si="7"/>
        <v/>
      </c>
      <c r="U18"/>
      <c r="X18"/>
      <c r="Y18"/>
      <c r="Z18"/>
      <c r="AA18"/>
      <c r="AB18"/>
    </row>
    <row r="19" spans="1:28" ht="21.75" customHeight="1" thickBot="1" x14ac:dyDescent="0.25">
      <c r="A19" s="15"/>
      <c r="I19" s="6"/>
      <c r="J19" s="16"/>
      <c r="O19" s="5"/>
      <c r="P19" s="5"/>
      <c r="Q19" s="5"/>
      <c r="R19" s="5"/>
      <c r="S19" s="7" t="s">
        <v>37</v>
      </c>
      <c r="T19" s="90">
        <f>SUM(T9:T18)</f>
        <v>4730</v>
      </c>
    </row>
    <row r="20" spans="1:28" ht="27.95" hidden="1" customHeight="1" x14ac:dyDescent="0.2">
      <c r="X20" s="1"/>
      <c r="Y20" s="1"/>
      <c r="Z20" s="1"/>
      <c r="AA20" s="1"/>
      <c r="AB20" s="1"/>
    </row>
    <row r="21" spans="1:28" ht="12.75" customHeight="1" thickBot="1" x14ac:dyDescent="0.25">
      <c r="X21" s="1"/>
      <c r="Y21" s="1"/>
      <c r="Z21" s="1"/>
      <c r="AA21" s="1"/>
      <c r="AB21" s="1"/>
    </row>
    <row r="22" spans="1:28" ht="16.5" customHeight="1" thickBot="1" x14ac:dyDescent="0.25">
      <c r="A22" s="17" t="s">
        <v>46</v>
      </c>
      <c r="B22" s="18"/>
      <c r="C22" s="18"/>
      <c r="D22" s="18"/>
      <c r="E22" s="18"/>
      <c r="F22" s="18"/>
      <c r="G22" s="18"/>
      <c r="H22" s="18"/>
      <c r="I22" s="18"/>
      <c r="J22" s="18"/>
      <c r="K22" s="761" t="s">
        <v>173</v>
      </c>
      <c r="L22" s="761"/>
      <c r="M22" s="761"/>
      <c r="N22" s="761"/>
      <c r="O22" s="14"/>
      <c r="P22" s="758" t="s">
        <v>183</v>
      </c>
      <c r="Q22" s="758"/>
      <c r="R22" s="758"/>
      <c r="S22" s="758"/>
      <c r="W22" s="1"/>
      <c r="X22" s="1"/>
      <c r="Y22" s="1"/>
      <c r="Z22" s="1"/>
      <c r="AA22" s="1"/>
    </row>
    <row r="23" spans="1:28" ht="51" customHeight="1" thickBot="1" x14ac:dyDescent="0.25">
      <c r="A23" s="19" t="s">
        <v>40</v>
      </c>
      <c r="B23" s="751" t="s">
        <v>47</v>
      </c>
      <c r="C23" s="751"/>
      <c r="D23" s="751"/>
      <c r="E23" s="751"/>
      <c r="F23" s="749" t="s">
        <v>132</v>
      </c>
      <c r="G23" s="750"/>
      <c r="H23" s="19" t="s">
        <v>42</v>
      </c>
      <c r="I23" s="116" t="s">
        <v>158</v>
      </c>
      <c r="J23" s="117"/>
      <c r="K23" s="762" t="s">
        <v>141</v>
      </c>
      <c r="L23" s="762"/>
      <c r="M23" s="762" t="s">
        <v>142</v>
      </c>
      <c r="N23" s="762"/>
      <c r="O23" s="119"/>
      <c r="P23" s="759" t="s">
        <v>43</v>
      </c>
      <c r="Q23" s="760"/>
      <c r="R23" s="760"/>
      <c r="S23" s="136" t="s">
        <v>44</v>
      </c>
      <c r="W23" s="1"/>
      <c r="X23" s="1"/>
      <c r="Y23" s="1"/>
      <c r="Z23" s="1"/>
      <c r="AA23" s="1"/>
    </row>
    <row r="24" spans="1:28" ht="23.25" thickBot="1" x14ac:dyDescent="0.25">
      <c r="A24" s="20" t="s">
        <v>48</v>
      </c>
      <c r="B24" s="753" t="s">
        <v>166</v>
      </c>
      <c r="C24" s="754"/>
      <c r="D24" s="754"/>
      <c r="E24" s="755"/>
      <c r="F24" s="92" t="s">
        <v>160</v>
      </c>
      <c r="G24" s="76" t="s">
        <v>135</v>
      </c>
      <c r="H24" s="8">
        <v>15</v>
      </c>
      <c r="I24" s="118">
        <v>3.5</v>
      </c>
      <c r="J24" s="93">
        <v>0</v>
      </c>
      <c r="K24" s="752">
        <v>0.63</v>
      </c>
      <c r="L24" s="752"/>
      <c r="M24" s="752">
        <v>0.53400000000000003</v>
      </c>
      <c r="N24" s="752"/>
      <c r="O24" s="9"/>
      <c r="P24" s="756" t="s">
        <v>143</v>
      </c>
      <c r="Q24" s="757"/>
      <c r="R24" s="757"/>
      <c r="S24" s="134">
        <v>632</v>
      </c>
      <c r="W24" s="1"/>
      <c r="X24" s="1"/>
      <c r="Y24" s="1"/>
      <c r="Z24" s="1"/>
      <c r="AA24" s="1"/>
    </row>
    <row r="25" spans="1:28" ht="23.25" thickBot="1" x14ac:dyDescent="0.25">
      <c r="A25" s="20" t="s">
        <v>49</v>
      </c>
      <c r="B25" s="753" t="s">
        <v>167</v>
      </c>
      <c r="C25" s="754"/>
      <c r="D25" s="754"/>
      <c r="E25" s="755"/>
      <c r="F25" s="92" t="s">
        <v>161</v>
      </c>
      <c r="G25" s="76" t="s">
        <v>135</v>
      </c>
      <c r="H25" s="8">
        <v>15</v>
      </c>
      <c r="I25" s="118">
        <v>3.5</v>
      </c>
      <c r="J25" s="93">
        <v>150</v>
      </c>
      <c r="K25" s="752">
        <v>0.57999999999999996</v>
      </c>
      <c r="L25" s="752"/>
      <c r="M25" s="752">
        <v>0.53400000000000003</v>
      </c>
      <c r="N25" s="752"/>
      <c r="O25" s="9"/>
      <c r="P25" s="756" t="s">
        <v>137</v>
      </c>
      <c r="Q25" s="757"/>
      <c r="R25" s="757"/>
      <c r="S25" s="135">
        <v>384</v>
      </c>
    </row>
    <row r="26" spans="1:28" ht="23.25" thickBot="1" x14ac:dyDescent="0.25">
      <c r="A26" s="20" t="s">
        <v>50</v>
      </c>
      <c r="B26" s="753" t="s">
        <v>168</v>
      </c>
      <c r="C26" s="754"/>
      <c r="D26" s="754"/>
      <c r="E26" s="755"/>
      <c r="F26" s="92" t="s">
        <v>162</v>
      </c>
      <c r="G26" s="76" t="s">
        <v>135</v>
      </c>
      <c r="H26" s="8">
        <v>15</v>
      </c>
      <c r="I26" s="118">
        <v>3.5</v>
      </c>
      <c r="J26" s="93">
        <v>300</v>
      </c>
      <c r="K26" s="752">
        <v>0.52</v>
      </c>
      <c r="L26" s="752"/>
      <c r="M26" s="752">
        <v>0.52400000000000002</v>
      </c>
      <c r="N26" s="752"/>
      <c r="O26" s="9"/>
      <c r="P26" s="756" t="s">
        <v>140</v>
      </c>
      <c r="Q26" s="757"/>
      <c r="R26" s="757"/>
      <c r="S26" s="135">
        <v>828</v>
      </c>
    </row>
    <row r="27" spans="1:28" ht="23.25" thickBot="1" x14ac:dyDescent="0.25">
      <c r="A27" s="20" t="s">
        <v>51</v>
      </c>
      <c r="B27" s="753" t="s">
        <v>65</v>
      </c>
      <c r="C27" s="754"/>
      <c r="D27" s="754"/>
      <c r="E27" s="755"/>
      <c r="F27" s="92" t="s">
        <v>163</v>
      </c>
      <c r="G27" s="76" t="s">
        <v>135</v>
      </c>
      <c r="H27" s="8">
        <v>15</v>
      </c>
      <c r="I27" s="118">
        <v>3.5</v>
      </c>
      <c r="J27" s="93">
        <v>0</v>
      </c>
      <c r="K27" s="752">
        <v>0.65</v>
      </c>
      <c r="L27" s="752"/>
      <c r="M27" s="752">
        <v>0.53400000000000003</v>
      </c>
      <c r="N27" s="752"/>
      <c r="O27" s="9"/>
      <c r="P27" s="756" t="s">
        <v>144</v>
      </c>
      <c r="Q27" s="757"/>
      <c r="R27" s="757"/>
      <c r="S27" s="135">
        <v>756</v>
      </c>
    </row>
    <row r="28" spans="1:28" ht="23.25" thickBot="1" x14ac:dyDescent="0.25">
      <c r="A28" s="20" t="s">
        <v>52</v>
      </c>
      <c r="B28" s="753" t="s">
        <v>66</v>
      </c>
      <c r="C28" s="754"/>
      <c r="D28" s="754"/>
      <c r="E28" s="755"/>
      <c r="F28" s="92" t="s">
        <v>164</v>
      </c>
      <c r="G28" s="76" t="s">
        <v>135</v>
      </c>
      <c r="H28" s="8">
        <v>15</v>
      </c>
      <c r="I28" s="118">
        <v>3.5</v>
      </c>
      <c r="J28" s="93">
        <v>150</v>
      </c>
      <c r="K28" s="752">
        <v>0.57999999999999996</v>
      </c>
      <c r="L28" s="752"/>
      <c r="M28" s="752">
        <v>0.53400000000000003</v>
      </c>
      <c r="N28" s="752"/>
      <c r="O28" s="9"/>
      <c r="P28" s="756" t="s">
        <v>145</v>
      </c>
      <c r="Q28" s="757"/>
      <c r="R28" s="757"/>
      <c r="S28" s="135">
        <v>1408</v>
      </c>
    </row>
    <row r="29" spans="1:28" ht="23.25" thickBot="1" x14ac:dyDescent="0.25">
      <c r="A29" s="20" t="s">
        <v>53</v>
      </c>
      <c r="B29" s="753" t="s">
        <v>67</v>
      </c>
      <c r="C29" s="754"/>
      <c r="D29" s="754"/>
      <c r="E29" s="755"/>
      <c r="F29" s="92" t="s">
        <v>165</v>
      </c>
      <c r="G29" s="76" t="s">
        <v>135</v>
      </c>
      <c r="H29" s="8">
        <v>15</v>
      </c>
      <c r="I29" s="118">
        <v>3.5</v>
      </c>
      <c r="J29" s="93">
        <v>300</v>
      </c>
      <c r="K29" s="752">
        <v>0.53</v>
      </c>
      <c r="L29" s="752"/>
      <c r="M29" s="752">
        <v>0.52400000000000002</v>
      </c>
      <c r="N29" s="752"/>
      <c r="O29" s="91"/>
      <c r="P29" s="756" t="s">
        <v>146</v>
      </c>
      <c r="Q29" s="757"/>
      <c r="R29" s="757"/>
      <c r="S29" s="135">
        <v>1193</v>
      </c>
      <c r="U29" s="1"/>
    </row>
    <row r="30" spans="1:28" s="1" customFormat="1" ht="15" customHeight="1" thickBot="1" x14ac:dyDescent="0.25">
      <c r="A30" s="20" t="s">
        <v>68</v>
      </c>
      <c r="B30" s="95" t="s">
        <v>169</v>
      </c>
      <c r="C30" s="96"/>
      <c r="D30" s="97"/>
      <c r="E30" s="98"/>
      <c r="F30" s="120" t="s">
        <v>170</v>
      </c>
      <c r="G30" s="96"/>
      <c r="H30" s="96"/>
      <c r="I30" s="96"/>
      <c r="J30" s="96"/>
      <c r="K30" s="96"/>
      <c r="L30" s="115"/>
      <c r="M30" s="115"/>
      <c r="N30" s="20"/>
      <c r="O30" s="9"/>
      <c r="P30" s="756" t="s">
        <v>138</v>
      </c>
      <c r="Q30" s="757"/>
      <c r="R30" s="757"/>
      <c r="S30" s="135">
        <v>902</v>
      </c>
      <c r="W30"/>
      <c r="X30"/>
      <c r="Y30"/>
      <c r="Z30"/>
      <c r="AA30"/>
    </row>
    <row r="31" spans="1:28" s="1" customFormat="1" ht="15" customHeight="1" thickBot="1" x14ac:dyDescent="0.25">
      <c r="A31"/>
      <c r="B31"/>
      <c r="C31"/>
      <c r="D31"/>
      <c r="E31"/>
      <c r="F31"/>
      <c r="G31"/>
      <c r="H31"/>
      <c r="I31"/>
      <c r="J31"/>
      <c r="K31"/>
      <c r="N31" s="85"/>
      <c r="O31" s="9"/>
      <c r="P31" s="756" t="s">
        <v>139</v>
      </c>
      <c r="Q31" s="757"/>
      <c r="R31" s="757"/>
      <c r="S31" s="135">
        <v>867</v>
      </c>
      <c r="W31"/>
      <c r="X31"/>
      <c r="Y31"/>
      <c r="Z31"/>
      <c r="AA31"/>
    </row>
    <row r="32" spans="1:28" s="1" customFormat="1" x14ac:dyDescent="0.2">
      <c r="A32" s="1" t="s">
        <v>64</v>
      </c>
      <c r="N32" s="85"/>
      <c r="O32" s="9"/>
      <c r="P32" s="9"/>
      <c r="Q32" s="9"/>
      <c r="X32"/>
      <c r="Y32"/>
      <c r="Z32"/>
      <c r="AA32"/>
      <c r="AB32"/>
    </row>
    <row r="33" spans="1:28" s="1" customFormat="1" ht="15" customHeight="1" x14ac:dyDescent="0.2">
      <c r="N33" s="85"/>
      <c r="O33" s="9"/>
      <c r="P33" s="9"/>
      <c r="Q33" s="9"/>
      <c r="X33"/>
      <c r="Y33"/>
      <c r="Z33"/>
      <c r="AA33"/>
      <c r="AB33"/>
    </row>
    <row r="34" spans="1:28" s="1" customFormat="1" ht="15" customHeight="1" x14ac:dyDescent="0.2">
      <c r="A34" s="21" t="s">
        <v>54</v>
      </c>
      <c r="U34"/>
      <c r="X34"/>
      <c r="Y34"/>
      <c r="Z34"/>
      <c r="AA34"/>
      <c r="AB34"/>
    </row>
    <row r="35" spans="1:28" x14ac:dyDescent="0.2">
      <c r="A35" s="1" t="s">
        <v>69</v>
      </c>
      <c r="B35" s="1"/>
      <c r="C35" s="1"/>
      <c r="D35" s="1"/>
      <c r="E35" s="1"/>
      <c r="F35" s="1"/>
      <c r="G35" s="1"/>
      <c r="H35" s="1"/>
      <c r="I35" s="1"/>
      <c r="J35" s="1"/>
      <c r="K35" s="1"/>
    </row>
  </sheetData>
  <sheetProtection selectLockedCells="1"/>
  <mergeCells count="51">
    <mergeCell ref="P31:R31"/>
    <mergeCell ref="M28:N28"/>
    <mergeCell ref="M27:N27"/>
    <mergeCell ref="M26:N26"/>
    <mergeCell ref="M25:N25"/>
    <mergeCell ref="P28:R28"/>
    <mergeCell ref="P26:R26"/>
    <mergeCell ref="P27:R27"/>
    <mergeCell ref="P30:R30"/>
    <mergeCell ref="E18:F18"/>
    <mergeCell ref="E17:F17"/>
    <mergeCell ref="E16:F16"/>
    <mergeCell ref="O6:S6"/>
    <mergeCell ref="P29:R29"/>
    <mergeCell ref="P22:S22"/>
    <mergeCell ref="P24:R24"/>
    <mergeCell ref="K27:L27"/>
    <mergeCell ref="P23:R23"/>
    <mergeCell ref="M24:N24"/>
    <mergeCell ref="M29:N29"/>
    <mergeCell ref="P25:R25"/>
    <mergeCell ref="K22:N22"/>
    <mergeCell ref="K23:L23"/>
    <mergeCell ref="B26:E26"/>
    <mergeCell ref="M23:N23"/>
    <mergeCell ref="F23:G23"/>
    <mergeCell ref="B23:E23"/>
    <mergeCell ref="K26:L26"/>
    <mergeCell ref="B29:E29"/>
    <mergeCell ref="K29:L29"/>
    <mergeCell ref="K28:L28"/>
    <mergeCell ref="B28:E28"/>
    <mergeCell ref="K24:L24"/>
    <mergeCell ref="B25:E25"/>
    <mergeCell ref="K25:L25"/>
    <mergeCell ref="B27:E27"/>
    <mergeCell ref="B24:E24"/>
    <mergeCell ref="A2:T2"/>
    <mergeCell ref="E15:F15"/>
    <mergeCell ref="E14:F14"/>
    <mergeCell ref="D3:F3"/>
    <mergeCell ref="D4:F4"/>
    <mergeCell ref="E10:F10"/>
    <mergeCell ref="E7:F7"/>
    <mergeCell ref="A6:C6"/>
    <mergeCell ref="E9:F9"/>
    <mergeCell ref="D6:N6"/>
    <mergeCell ref="E8:F8"/>
    <mergeCell ref="E13:F13"/>
    <mergeCell ref="E11:F11"/>
    <mergeCell ref="E12:F12"/>
  </mergeCells>
  <phoneticPr fontId="7" type="noConversion"/>
  <dataValidations count="8">
    <dataValidation type="decimal" operator="lessThanOrEqual" allowBlank="1" showInputMessage="1" showErrorMessage="1" errorTitle="Check Efficiency!" error="Please enter an efficiency that is equal to or better than the minimum efficiency from Table 3!" sqref="K9:K18" xr:uid="{00000000-0002-0000-0700-000000000000}">
      <formula1>J9</formula1>
    </dataValidation>
    <dataValidation type="list" allowBlank="1" showInputMessage="1" showErrorMessage="1" sqref="D9:D18" xr:uid="{00000000-0002-0000-0700-000001000000}">
      <formula1>Unit_Code_Chillers</formula1>
    </dataValidation>
    <dataValidation type="whole" operator="greaterThanOrEqual" allowBlank="1" showErrorMessage="1" errorTitle="Unit Quantity" error="Please enter a valid quantity!" sqref="L9:L18" xr:uid="{00000000-0002-0000-0700-000002000000}">
      <formula1>0</formula1>
    </dataValidation>
    <dataValidation type="list" allowBlank="1" showInputMessage="1" showErrorMessage="1" sqref="E9:E18 F10:F18" xr:uid="{00000000-0002-0000-0700-000003000000}">
      <formula1>Manufacturers</formula1>
    </dataValidation>
    <dataValidation type="list" allowBlank="1" showInputMessage="1" showErrorMessage="1" sqref="B10:B18" xr:uid="{00000000-0002-0000-0700-000004000000}">
      <formula1>kw_ton</formula1>
    </dataValidation>
    <dataValidation type="whole" operator="greaterThanOrEqual" allowBlank="1" showErrorMessage="1" errorTitle="Enter Quantity" error="Please enter the quantity of units - a value equal or greater than zero!" sqref="C9:C18" xr:uid="{00000000-0002-0000-0700-000005000000}">
      <formula1>0</formula1>
    </dataValidation>
    <dataValidation allowBlank="1" showInputMessage="1" showErrorMessage="1" errorTitle="Check Tons" error="Please make sure you have the correct UNIT CODE selected for this tonnage." promptTitle="Check Tons" prompt="Please be sure to select the correct UNIT CODE first!" sqref="A9" xr:uid="{00000000-0002-0000-0700-000006000000}"/>
    <dataValidation type="list" allowBlank="1" showInputMessage="1" showErrorMessage="1" prompt="Use Baseline efficiency located in the yellow box in table 3 for New Construction and unknown Retrofit efficiencies" sqref="B9" xr:uid="{00000000-0002-0000-0700-000007000000}">
      <formula1>kw_ton</formula1>
    </dataValidation>
  </dataValidations>
  <printOptions horizontalCentered="1"/>
  <pageMargins left="0.1" right="0.1" top="0.5" bottom="0.25" header="0.5" footer="0.5"/>
  <pageSetup scale="5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71" r:id="rId4" name="Option Button 223">
              <controlPr defaultSize="0" autoFill="0" autoLine="0" autoPict="0">
                <anchor moveWithCells="1">
                  <from>
                    <xdr:col>2</xdr:col>
                    <xdr:colOff>47625</xdr:colOff>
                    <xdr:row>2</xdr:row>
                    <xdr:rowOff>0</xdr:rowOff>
                  </from>
                  <to>
                    <xdr:col>2</xdr:col>
                    <xdr:colOff>342900</xdr:colOff>
                    <xdr:row>3</xdr:row>
                    <xdr:rowOff>0</xdr:rowOff>
                  </to>
                </anchor>
              </controlPr>
            </control>
          </mc:Choice>
        </mc:AlternateContent>
        <mc:AlternateContent xmlns:mc="http://schemas.openxmlformats.org/markup-compatibility/2006">
          <mc:Choice Requires="x14">
            <control shapeId="2272" r:id="rId5" name="Option Button 224">
              <controlPr defaultSize="0" autoFill="0" autoLine="0" autoPict="0">
                <anchor moveWithCells="1">
                  <from>
                    <xdr:col>2</xdr:col>
                    <xdr:colOff>47625</xdr:colOff>
                    <xdr:row>2</xdr:row>
                    <xdr:rowOff>180975</xdr:rowOff>
                  </from>
                  <to>
                    <xdr:col>2</xdr:col>
                    <xdr:colOff>342900</xdr:colOff>
                    <xdr:row>4</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32"/>
  <sheetViews>
    <sheetView zoomScale="103" zoomScaleNormal="103" workbookViewId="0">
      <selection activeCell="D12" sqref="D12"/>
    </sheetView>
  </sheetViews>
  <sheetFormatPr defaultRowHeight="12.75" x14ac:dyDescent="0.2"/>
  <cols>
    <col min="1" max="1" width="18.85546875" customWidth="1"/>
    <col min="2" max="2" width="14" customWidth="1"/>
    <col min="3" max="3" width="9.28515625" customWidth="1"/>
    <col min="4" max="4" width="11" customWidth="1"/>
    <col min="5" max="5" width="10.7109375" customWidth="1"/>
    <col min="6" max="6" width="10.5703125" bestFit="1" customWidth="1"/>
    <col min="7" max="7" width="11.85546875" customWidth="1"/>
    <col min="8" max="8" width="10.140625" customWidth="1"/>
    <col min="9" max="9" width="9.7109375" customWidth="1"/>
    <col min="10" max="11" width="12.5703125" bestFit="1" customWidth="1"/>
    <col min="12" max="12" width="9.42578125" bestFit="1" customWidth="1"/>
    <col min="13" max="13" width="10.42578125" bestFit="1" customWidth="1"/>
    <col min="14" max="14" width="9.28515625" bestFit="1" customWidth="1"/>
    <col min="15" max="15" width="10.85546875" bestFit="1" customWidth="1"/>
    <col min="16" max="16" width="11.85546875" customWidth="1"/>
  </cols>
  <sheetData>
    <row r="1" spans="1:16" s="165" customFormat="1" ht="20.25" thickBot="1" x14ac:dyDescent="0.25">
      <c r="A1" s="280" t="s">
        <v>184</v>
      </c>
      <c r="B1" s="281"/>
      <c r="C1" s="281"/>
      <c r="D1" s="281"/>
      <c r="E1" s="281"/>
      <c r="F1" s="281"/>
      <c r="G1" s="281"/>
      <c r="H1" s="281"/>
      <c r="I1" s="281"/>
      <c r="J1" s="281"/>
      <c r="K1" s="281"/>
      <c r="L1" s="281"/>
      <c r="M1" s="282"/>
    </row>
    <row r="2" spans="1:16" x14ac:dyDescent="0.2">
      <c r="A2" s="14" t="s">
        <v>186</v>
      </c>
      <c r="B2" s="1">
        <f>'Customer Information'!CustomerName</f>
        <v>0</v>
      </c>
      <c r="C2" s="69"/>
      <c r="D2" s="69"/>
      <c r="E2" s="1"/>
      <c r="F2" s="1"/>
      <c r="G2" s="1"/>
      <c r="H2" s="1"/>
      <c r="I2" s="1"/>
      <c r="J2" s="163" t="s">
        <v>77</v>
      </c>
      <c r="K2" s="163" t="s">
        <v>78</v>
      </c>
      <c r="L2" s="163" t="s">
        <v>187</v>
      </c>
      <c r="M2" s="1"/>
      <c r="N2" s="1"/>
      <c r="O2" s="1"/>
      <c r="P2" s="1"/>
    </row>
    <row r="3" spans="1:16" ht="15" customHeight="1" x14ac:dyDescent="0.2">
      <c r="A3" s="161"/>
      <c r="B3" s="158"/>
      <c r="C3" s="159"/>
      <c r="D3" s="160"/>
      <c r="E3" s="1"/>
      <c r="F3" s="1"/>
      <c r="G3" s="1"/>
      <c r="H3" s="1"/>
      <c r="I3" s="152" t="s">
        <v>79</v>
      </c>
      <c r="J3" s="186">
        <v>19.670000000000002</v>
      </c>
      <c r="K3" s="185">
        <v>5.9799999999999999E-2</v>
      </c>
      <c r="L3" s="164">
        <f>(J3/(0.55*720)+K3)</f>
        <v>0.10947171717171716</v>
      </c>
      <c r="M3" s="1"/>
      <c r="N3" s="1"/>
      <c r="O3" s="1"/>
      <c r="P3" s="1"/>
    </row>
    <row r="4" spans="1:16" x14ac:dyDescent="0.2">
      <c r="A4" s="14" t="s">
        <v>185</v>
      </c>
      <c r="B4" s="1">
        <f>'Customer Information'!CustomerInstallAddress</f>
        <v>0</v>
      </c>
      <c r="C4" s="1"/>
      <c r="D4" s="1"/>
      <c r="E4" s="1"/>
      <c r="F4" s="1"/>
      <c r="G4" s="1"/>
      <c r="H4" s="1"/>
      <c r="I4" s="1"/>
      <c r="J4" s="1"/>
      <c r="K4" s="1"/>
      <c r="L4" s="1"/>
      <c r="M4" s="1"/>
      <c r="N4" s="14"/>
      <c r="O4" s="1"/>
      <c r="P4" s="1"/>
    </row>
    <row r="5" spans="1:16" x14ac:dyDescent="0.2">
      <c r="A5" s="14" t="s">
        <v>2</v>
      </c>
      <c r="B5" s="1">
        <f>'Customer Information'!G13</f>
        <v>0</v>
      </c>
      <c r="C5" s="1"/>
      <c r="D5" s="1"/>
      <c r="E5" s="1"/>
      <c r="F5" s="1"/>
      <c r="G5" s="1"/>
      <c r="H5" s="1"/>
      <c r="I5" s="1"/>
      <c r="J5" s="162"/>
      <c r="K5" s="1"/>
      <c r="L5" s="1"/>
      <c r="M5" s="1"/>
      <c r="N5" s="14"/>
      <c r="O5" s="1"/>
      <c r="P5" s="1"/>
    </row>
    <row r="6" spans="1:16" ht="7.5" customHeight="1" thickBot="1" x14ac:dyDescent="0.25">
      <c r="A6" s="1"/>
      <c r="B6" s="69"/>
      <c r="C6" s="69"/>
      <c r="D6" s="69"/>
      <c r="E6" s="69"/>
      <c r="F6" s="69"/>
      <c r="G6" s="69"/>
      <c r="H6" s="69"/>
      <c r="I6" s="1"/>
      <c r="J6" s="1"/>
      <c r="K6" s="1"/>
      <c r="L6" s="1"/>
      <c r="M6" s="1"/>
    </row>
    <row r="7" spans="1:16" s="1" customFormat="1" ht="13.5" thickBot="1" x14ac:dyDescent="0.25">
      <c r="A7" s="728" t="s">
        <v>123</v>
      </c>
      <c r="B7" s="729"/>
      <c r="C7" s="729"/>
      <c r="D7" s="730"/>
      <c r="E7"/>
      <c r="F7" s="723" t="s">
        <v>13</v>
      </c>
      <c r="G7" s="724"/>
      <c r="H7" s="724"/>
      <c r="I7" s="724"/>
      <c r="J7" s="725"/>
      <c r="K7" s="726" t="s">
        <v>80</v>
      </c>
      <c r="L7" s="726"/>
      <c r="M7" s="727"/>
      <c r="N7"/>
      <c r="O7"/>
      <c r="P7"/>
    </row>
    <row r="8" spans="1:16" ht="13.7" hidden="1" customHeight="1" thickBot="1" x14ac:dyDescent="0.25">
      <c r="A8" s="151"/>
      <c r="B8" s="151"/>
      <c r="C8" s="151"/>
      <c r="D8" s="151"/>
      <c r="F8" s="151"/>
      <c r="G8" s="151"/>
      <c r="H8" s="151"/>
      <c r="I8" s="151"/>
      <c r="J8" s="151"/>
      <c r="K8" s="284"/>
      <c r="L8" s="151"/>
      <c r="M8" s="151"/>
    </row>
    <row r="9" spans="1:16" ht="13.7" hidden="1" customHeight="1" thickBot="1" x14ac:dyDescent="0.25">
      <c r="A9" s="283" t="s">
        <v>123</v>
      </c>
      <c r="B9" s="283"/>
      <c r="C9" s="283"/>
      <c r="D9" s="283"/>
      <c r="F9" s="283"/>
      <c r="G9" s="283"/>
      <c r="H9" s="283" t="s">
        <v>13</v>
      </c>
      <c r="I9" s="283"/>
      <c r="J9" s="283"/>
      <c r="K9" s="285"/>
      <c r="L9" s="283"/>
      <c r="M9" s="283"/>
    </row>
    <row r="10" spans="1:16" ht="13.5" hidden="1" thickBot="1" x14ac:dyDescent="0.25">
      <c r="A10" s="286"/>
      <c r="B10" s="287"/>
      <c r="C10" s="287"/>
      <c r="D10" s="288"/>
      <c r="F10" s="286"/>
      <c r="G10" s="287"/>
      <c r="H10" s="287"/>
      <c r="I10" s="287"/>
      <c r="J10" s="288"/>
      <c r="K10" s="289"/>
      <c r="L10" s="287"/>
      <c r="M10" s="288"/>
      <c r="P10" s="78"/>
    </row>
    <row r="11" spans="1:16" ht="34.5" thickBot="1" x14ac:dyDescent="0.25">
      <c r="A11" s="294" t="s">
        <v>136</v>
      </c>
      <c r="B11" s="295" t="s">
        <v>34</v>
      </c>
      <c r="C11" s="295" t="s">
        <v>124</v>
      </c>
      <c r="D11" s="296" t="s">
        <v>125</v>
      </c>
      <c r="E11" s="298" t="s">
        <v>81</v>
      </c>
      <c r="F11" s="294" t="s">
        <v>126</v>
      </c>
      <c r="G11" s="295" t="s">
        <v>532</v>
      </c>
      <c r="H11" s="295" t="s">
        <v>34</v>
      </c>
      <c r="I11" s="295" t="s">
        <v>127</v>
      </c>
      <c r="J11" s="296" t="s">
        <v>128</v>
      </c>
      <c r="K11" s="297" t="s">
        <v>129</v>
      </c>
      <c r="L11" s="295" t="s">
        <v>82</v>
      </c>
      <c r="M11" s="296" t="s">
        <v>83</v>
      </c>
    </row>
    <row r="12" spans="1:16" ht="24" customHeight="1" x14ac:dyDescent="0.2">
      <c r="A12" s="290">
        <f>'Rebate Info Rooftop SEER2'!B11</f>
        <v>0</v>
      </c>
      <c r="B12" s="139">
        <f>'Rebate Info Rooftop SEER2'!C11</f>
        <v>0</v>
      </c>
      <c r="C12" s="140">
        <f>IF(ISERROR((12/(0.875*A12))*B12*'Rebate Info Rooftop SEER2'!A11),0,(12/(0.875*A12))*B12*'Rebate Info Rooftop SEER2'!A11)</f>
        <v>0</v>
      </c>
      <c r="D12" s="300">
        <f>IF(ISERROR((12/A12)*B12*'Rebate Info Rooftop SEER2'!A11*E12),0,(12/A12)*B12*'Rebate Info Rooftop SEER2'!A11*E12)</f>
        <v>0</v>
      </c>
      <c r="E12" s="299">
        <f>'Rebate Information (Rooftops)'!L11</f>
        <v>0</v>
      </c>
      <c r="F12" s="291" t="str">
        <f>CONCATENATE('Rebate Info Rooftop SEER2'!E11," ",'Rebate Info Rooftop SEER2'!F11)</f>
        <v xml:space="preserve"> </v>
      </c>
      <c r="G12" s="290">
        <f>'Rebate Info Rooftop SEER2'!J11</f>
        <v>0</v>
      </c>
      <c r="H12" s="445">
        <f>'Rebate Info Rooftop SEER2'!K11</f>
        <v>0</v>
      </c>
      <c r="I12" s="140">
        <f>IF(ISERROR((12/(0.875*G12))*H12*'Rebate Info Rooftop SEER2'!G11),0,(12/(0.875*G12))*H12*'Rebate Info Rooftop SEER2'!G11)</f>
        <v>0</v>
      </c>
      <c r="J12" s="300">
        <f>IF(ISERROR((12/G12)*H12*'Rebate Info Rooftop SEER2'!G11*E12),0,(12/G12)*H12*'Rebate Info Rooftop SEER2'!G11*E12)</f>
        <v>0</v>
      </c>
      <c r="K12" s="292">
        <f t="shared" ref="K12:K18" si="0">IFERROR(IF(ISERROR(C12-I12),"",C12-I12)*0.9,"")</f>
        <v>0</v>
      </c>
      <c r="L12" s="446">
        <f t="shared" ref="L12:L18" si="1">IF(ISERROR(D12-J12),"",D12-J12)</f>
        <v>0</v>
      </c>
      <c r="M12" s="293">
        <f t="shared" ref="M12:M18" si="2">IFERROR(L12*$L$3,"")</f>
        <v>0</v>
      </c>
    </row>
    <row r="13" spans="1:16" ht="24" customHeight="1" x14ac:dyDescent="0.2">
      <c r="A13" s="290">
        <f>'Rebate Information (Rooftops)'!B12</f>
        <v>0</v>
      </c>
      <c r="B13" s="139">
        <f>'Rebate Information (Rooftops)'!C12</f>
        <v>0</v>
      </c>
      <c r="C13" s="140">
        <f>IF(ISERROR((12/(0.875*A13))*B13*'Rebate Information (Rooftops)'!A12),0,(12/(0.875*A13))*B13*'Rebate Information (Rooftops)'!A12)</f>
        <v>0</v>
      </c>
      <c r="D13" s="300">
        <f>IF(ISERROR((12/A13)*B13*'Rebate Information (Rooftops)'!A12*E13),0,(12/A13)*B13*'Rebate Information (Rooftops)'!A12*E13)</f>
        <v>0</v>
      </c>
      <c r="E13" s="299">
        <f>'Rebate Information (Rooftops)'!L12</f>
        <v>0</v>
      </c>
      <c r="F13" s="291" t="str">
        <f>CONCATENATE('Rebate Information (Rooftops)'!E12," ",'Rebate Information (Rooftops)'!F12)</f>
        <v xml:space="preserve"> </v>
      </c>
      <c r="G13" s="290">
        <f>'Rebate Information (Rooftops)'!J12</f>
        <v>0</v>
      </c>
      <c r="H13" s="445">
        <f>'Rebate Information (Rooftops)'!K12</f>
        <v>0</v>
      </c>
      <c r="I13" s="140">
        <f>IF(ISERROR((12/(0.875*G13))*H13*'Rebate Information (Rooftops)'!G12),0,(12/(0.875*G13))*H13*'Rebate Information (Rooftops)'!G12)</f>
        <v>0</v>
      </c>
      <c r="J13" s="300">
        <f>IF(ISERROR((12/G13)*H13*'Rebate Information (Rooftops)'!G12*E13),0,(12/G13)*H13*'Rebate Information (Rooftops)'!G12*E13)</f>
        <v>0</v>
      </c>
      <c r="K13" s="292">
        <f t="shared" si="0"/>
        <v>0</v>
      </c>
      <c r="L13" s="446">
        <f t="shared" si="1"/>
        <v>0</v>
      </c>
      <c r="M13" s="293">
        <f t="shared" si="2"/>
        <v>0</v>
      </c>
    </row>
    <row r="14" spans="1:16" ht="24" customHeight="1" x14ac:dyDescent="0.2">
      <c r="A14" s="290">
        <f>'Rebate Information (Rooftops)'!B13</f>
        <v>0</v>
      </c>
      <c r="B14" s="139">
        <f>'Rebate Information (Rooftops)'!C13</f>
        <v>0</v>
      </c>
      <c r="C14" s="140">
        <f>IF(ISERROR((12/(0.875*A14))*B14*'Rebate Information (Rooftops)'!A13),0,(12/(0.875*A14))*B14*'Rebate Information (Rooftops)'!A13)</f>
        <v>0</v>
      </c>
      <c r="D14" s="300">
        <f>IF(ISERROR((12/A14)*B14*'Rebate Information (Rooftops)'!A13*E14),0,(12/A14)*B14*'Rebate Information (Rooftops)'!A13*E14)</f>
        <v>0</v>
      </c>
      <c r="E14" s="299">
        <f>'Rebate Information (Rooftops)'!L13</f>
        <v>0</v>
      </c>
      <c r="F14" s="291" t="str">
        <f>CONCATENATE('Rebate Information (Rooftops)'!E13," ",'Rebate Information (Rooftops)'!F13)</f>
        <v xml:space="preserve"> </v>
      </c>
      <c r="G14" s="290">
        <f>'Rebate Information (Rooftops)'!J13</f>
        <v>0</v>
      </c>
      <c r="H14" s="445">
        <f>'Rebate Information (Rooftops)'!K13</f>
        <v>0</v>
      </c>
      <c r="I14" s="140">
        <f>IF(ISERROR((12/(0.875*G14))*H14*'Rebate Information (Rooftops)'!G13),0,(12/(0.875*G14))*H14*'Rebate Information (Rooftops)'!G13)</f>
        <v>0</v>
      </c>
      <c r="J14" s="300">
        <f>IF(ISERROR((12/G14)*H14*'Rebate Information (Rooftops)'!G13*E14),0,(12/G14)*H14*'Rebate Information (Rooftops)'!G13*E14)</f>
        <v>0</v>
      </c>
      <c r="K14" s="292">
        <f t="shared" si="0"/>
        <v>0</v>
      </c>
      <c r="L14" s="446">
        <f t="shared" si="1"/>
        <v>0</v>
      </c>
      <c r="M14" s="293">
        <f t="shared" si="2"/>
        <v>0</v>
      </c>
    </row>
    <row r="15" spans="1:16" ht="24" customHeight="1" x14ac:dyDescent="0.2">
      <c r="A15" s="290">
        <f>'Rebate Information (Rooftops)'!B14</f>
        <v>0</v>
      </c>
      <c r="B15" s="139">
        <f>'Rebate Information (Rooftops)'!C14</f>
        <v>0</v>
      </c>
      <c r="C15" s="140">
        <f>IF(ISERROR((12/(0.875*A15))*B15*'Rebate Information (Rooftops)'!A14),0,(12/(0.875*A15))*B15*'Rebate Information (Rooftops)'!A14)</f>
        <v>0</v>
      </c>
      <c r="D15" s="300">
        <f>IF(ISERROR((12/A15)*B15*'Rebate Information (Rooftops)'!A14*E15),0,(12/A15)*B15*'Rebate Information (Rooftops)'!A14*E15)</f>
        <v>0</v>
      </c>
      <c r="E15" s="299">
        <f>'Rebate Information (Rooftops)'!L14</f>
        <v>0</v>
      </c>
      <c r="F15" s="291" t="str">
        <f>CONCATENATE('Rebate Information (Rooftops)'!E14," ",'Rebate Information (Rooftops)'!F14)</f>
        <v xml:space="preserve"> </v>
      </c>
      <c r="G15" s="290">
        <f>'Rebate Information (Rooftops)'!J14</f>
        <v>0</v>
      </c>
      <c r="H15" s="445">
        <f>'Rebate Information (Rooftops)'!K14</f>
        <v>0</v>
      </c>
      <c r="I15" s="140">
        <f>IF(ISERROR((12/(0.875*G15))*H15*'Rebate Information (Rooftops)'!G14),0,(12/(0.875*G15))*H15*'Rebate Information (Rooftops)'!G14)</f>
        <v>0</v>
      </c>
      <c r="J15" s="300">
        <f>IF(ISERROR((12/G15)*H15*'Rebate Information (Rooftops)'!G14*E15),0,(12/G15)*H15*'Rebate Information (Rooftops)'!G14*E15)</f>
        <v>0</v>
      </c>
      <c r="K15" s="292">
        <f t="shared" si="0"/>
        <v>0</v>
      </c>
      <c r="L15" s="446">
        <f t="shared" si="1"/>
        <v>0</v>
      </c>
      <c r="M15" s="293">
        <f t="shared" si="2"/>
        <v>0</v>
      </c>
    </row>
    <row r="16" spans="1:16" ht="24" customHeight="1" x14ac:dyDescent="0.2">
      <c r="A16" s="290">
        <f>'Rebate Information (Rooftops)'!B15</f>
        <v>0</v>
      </c>
      <c r="B16" s="139">
        <f>'Rebate Information (Rooftops)'!C15</f>
        <v>0</v>
      </c>
      <c r="C16" s="140">
        <f>IF(ISERROR((12/(0.875*A16))*B16*'Rebate Information (Rooftops)'!A15),0,(12/(0.875*A16))*B16*'Rebate Information (Rooftops)'!A15)</f>
        <v>0</v>
      </c>
      <c r="D16" s="300">
        <f>IF(ISERROR((12/A16)*B16*'Rebate Information (Rooftops)'!A15*E16),0,(12/A16)*B16*'Rebate Information (Rooftops)'!A15*E16)</f>
        <v>0</v>
      </c>
      <c r="E16" s="299">
        <f>'Rebate Information (Rooftops)'!L15</f>
        <v>0</v>
      </c>
      <c r="F16" s="291" t="str">
        <f>CONCATENATE('Rebate Information (Rooftops)'!E15," ",'Rebate Information (Rooftops)'!F15)</f>
        <v xml:space="preserve"> </v>
      </c>
      <c r="G16" s="290">
        <f>'Rebate Information (Rooftops)'!J15</f>
        <v>0</v>
      </c>
      <c r="H16" s="445">
        <f>'Rebate Information (Rooftops)'!K15</f>
        <v>0</v>
      </c>
      <c r="I16" s="140">
        <f>IF(ISERROR((12/(0.875*G16))*H16*'Rebate Information (Rooftops)'!G15),0,(12/(0.875*G16))*H16*'Rebate Information (Rooftops)'!G15)</f>
        <v>0</v>
      </c>
      <c r="J16" s="300">
        <f>IF(ISERROR((12/G16)*H16*'Rebate Information (Rooftops)'!G15*E16),0,(12/G16)*H16*'Rebate Information (Rooftops)'!G15*E16)</f>
        <v>0</v>
      </c>
      <c r="K16" s="292">
        <f t="shared" si="0"/>
        <v>0</v>
      </c>
      <c r="L16" s="446">
        <f t="shared" si="1"/>
        <v>0</v>
      </c>
      <c r="M16" s="293">
        <f t="shared" si="2"/>
        <v>0</v>
      </c>
    </row>
    <row r="17" spans="1:13" ht="24" customHeight="1" x14ac:dyDescent="0.2">
      <c r="A17" s="290">
        <f>'Rebate Information (Rooftops)'!B16</f>
        <v>0</v>
      </c>
      <c r="B17" s="139">
        <f>'Rebate Information (Rooftops)'!C16</f>
        <v>0</v>
      </c>
      <c r="C17" s="140">
        <f>IF(ISERROR((12/(0.875*A17))*B17*'Rebate Information (Rooftops)'!A16),0,(12/(0.875*A17))*B17*'Rebate Information (Rooftops)'!A16)</f>
        <v>0</v>
      </c>
      <c r="D17" s="300">
        <f>IF(ISERROR((12/A17)*B17*'Rebate Information (Rooftops)'!A16*E17),0,(12/A17)*B17*'Rebate Information (Rooftops)'!A16*E17)</f>
        <v>0</v>
      </c>
      <c r="E17" s="299">
        <f>'Rebate Information (Rooftops)'!L16</f>
        <v>0</v>
      </c>
      <c r="F17" s="291" t="str">
        <f>CONCATENATE('Rebate Information (Rooftops)'!E16," ",'Rebate Information (Rooftops)'!F16)</f>
        <v xml:space="preserve"> </v>
      </c>
      <c r="G17" s="290">
        <f>'Rebate Information (Rooftops)'!J16</f>
        <v>0</v>
      </c>
      <c r="H17" s="445">
        <f>'Rebate Information (Rooftops)'!K16</f>
        <v>0</v>
      </c>
      <c r="I17" s="140">
        <f>IF(ISERROR((12/(0.875*G17))*H17*'Rebate Information (Rooftops)'!G16),0,(12/(0.875*G17))*H17*'Rebate Information (Rooftops)'!G16)</f>
        <v>0</v>
      </c>
      <c r="J17" s="300">
        <f>IF(ISERROR((12/G17)*H17*'Rebate Information (Rooftops)'!G16*E17),0,(12/G17)*H17*'Rebate Information (Rooftops)'!G16*E17)</f>
        <v>0</v>
      </c>
      <c r="K17" s="292">
        <f t="shared" si="0"/>
        <v>0</v>
      </c>
      <c r="L17" s="446">
        <f t="shared" si="1"/>
        <v>0</v>
      </c>
      <c r="M17" s="293">
        <f t="shared" si="2"/>
        <v>0</v>
      </c>
    </row>
    <row r="18" spans="1:13" ht="24" customHeight="1" x14ac:dyDescent="0.2">
      <c r="A18" s="290">
        <f>'Rebate Information (Rooftops)'!B17</f>
        <v>0</v>
      </c>
      <c r="B18" s="139">
        <f>'Rebate Information (Rooftops)'!C17</f>
        <v>0</v>
      </c>
      <c r="C18" s="140">
        <f>IF(ISERROR((12/(0.875*A18))*B18*'Rebate Information (Rooftops)'!A17),0,(12/(0.875*A18))*B18*'Rebate Information (Rooftops)'!A17)</f>
        <v>0</v>
      </c>
      <c r="D18" s="300">
        <f>IF(ISERROR((12/A18)*B18*'Rebate Information (Rooftops)'!A17*E18),0,(12/A18)*B18*'Rebate Information (Rooftops)'!A17*E18)</f>
        <v>0</v>
      </c>
      <c r="E18" s="299">
        <f>'Rebate Information (Rooftops)'!L17</f>
        <v>0</v>
      </c>
      <c r="F18" s="291" t="str">
        <f>CONCATENATE('Rebate Information (Rooftops)'!E17," ",'Rebate Information (Rooftops)'!F17)</f>
        <v xml:space="preserve"> </v>
      </c>
      <c r="G18" s="290">
        <f>'Rebate Information (Rooftops)'!J17</f>
        <v>0</v>
      </c>
      <c r="H18" s="445">
        <f>'Rebate Information (Rooftops)'!K17</f>
        <v>0</v>
      </c>
      <c r="I18" s="140">
        <f>IF(ISERROR((12/(0.875*G18))*H18*'Rebate Information (Rooftops)'!G17),0,(12/(0.875*G18))*H18*'Rebate Information (Rooftops)'!G17)</f>
        <v>0</v>
      </c>
      <c r="J18" s="300">
        <f>IF(ISERROR((12/G18)*H18*'Rebate Information (Rooftops)'!G17*E18),0,(12/G18)*H18*'Rebate Information (Rooftops)'!G17*E18)</f>
        <v>0</v>
      </c>
      <c r="K18" s="292">
        <f t="shared" si="0"/>
        <v>0</v>
      </c>
      <c r="L18" s="446">
        <f t="shared" si="1"/>
        <v>0</v>
      </c>
      <c r="M18" s="293">
        <f t="shared" si="2"/>
        <v>0</v>
      </c>
    </row>
    <row r="19" spans="1:13" ht="8.25" customHeight="1" thickBot="1" x14ac:dyDescent="0.25"/>
    <row r="20" spans="1:13" ht="24" customHeight="1" thickBot="1" x14ac:dyDescent="0.25">
      <c r="A20" s="243" t="s">
        <v>123</v>
      </c>
      <c r="B20" s="244"/>
      <c r="C20" s="245" t="s">
        <v>129</v>
      </c>
      <c r="D20" s="246" t="s">
        <v>82</v>
      </c>
      <c r="F20" s="254" t="s">
        <v>13</v>
      </c>
      <c r="G20" s="255"/>
      <c r="H20" s="255"/>
      <c r="I20" s="256" t="s">
        <v>129</v>
      </c>
      <c r="J20" s="257" t="s">
        <v>82</v>
      </c>
    </row>
    <row r="21" spans="1:13" ht="21" customHeight="1" x14ac:dyDescent="0.2">
      <c r="A21" s="247"/>
      <c r="B21" s="248" t="s">
        <v>176</v>
      </c>
      <c r="C21" s="153">
        <f>SUM(C12:C18)</f>
        <v>0</v>
      </c>
      <c r="D21" s="249">
        <f>SUM(D12:D18)</f>
        <v>0</v>
      </c>
      <c r="F21" s="258"/>
      <c r="G21" s="259"/>
      <c r="H21" s="260" t="s">
        <v>176</v>
      </c>
      <c r="I21" s="154">
        <f>SUM(I12:I18)</f>
        <v>0</v>
      </c>
      <c r="J21" s="261">
        <f>SUM(J12:J18)</f>
        <v>0</v>
      </c>
    </row>
    <row r="22" spans="1:13" ht="21" customHeight="1" thickBot="1" x14ac:dyDescent="0.25">
      <c r="A22" s="721" t="s">
        <v>177</v>
      </c>
      <c r="B22" s="722"/>
      <c r="C22" s="252"/>
      <c r="D22" s="253">
        <f>D21*$L$3</f>
        <v>0</v>
      </c>
      <c r="E22" s="242"/>
      <c r="F22" s="731" t="s">
        <v>178</v>
      </c>
      <c r="G22" s="732"/>
      <c r="H22" s="732"/>
      <c r="I22" s="264"/>
      <c r="J22" s="265">
        <f>J21*$L$3</f>
        <v>0</v>
      </c>
    </row>
    <row r="23" spans="1:13" ht="7.5" customHeight="1" thickBot="1" x14ac:dyDescent="0.25">
      <c r="E23" s="71"/>
    </row>
    <row r="24" spans="1:13" ht="13.5" thickBot="1" x14ac:dyDescent="0.25">
      <c r="F24" s="266" t="s">
        <v>87</v>
      </c>
      <c r="G24" s="267"/>
      <c r="H24" s="267"/>
      <c r="I24" s="268" t="s">
        <v>129</v>
      </c>
      <c r="J24" s="269" t="s">
        <v>82</v>
      </c>
    </row>
    <row r="25" spans="1:13" ht="21" customHeight="1" x14ac:dyDescent="0.2">
      <c r="F25" s="716" t="s">
        <v>179</v>
      </c>
      <c r="G25" s="717"/>
      <c r="H25" s="718"/>
      <c r="I25" s="166">
        <f>(C21-I21)*0.9</f>
        <v>0</v>
      </c>
      <c r="J25" s="273">
        <f>D21-J21</f>
        <v>0</v>
      </c>
    </row>
    <row r="26" spans="1:13" ht="21" customHeight="1" thickBot="1" x14ac:dyDescent="0.25">
      <c r="F26" s="719" t="s">
        <v>180</v>
      </c>
      <c r="G26" s="720"/>
      <c r="H26" s="720"/>
      <c r="I26" s="156"/>
      <c r="J26" s="276">
        <f>D22-J22</f>
        <v>0</v>
      </c>
    </row>
    <row r="32" spans="1:13" x14ac:dyDescent="0.2">
      <c r="A32" s="177"/>
    </row>
  </sheetData>
  <sheetProtection selectLockedCells="1"/>
  <mergeCells count="7">
    <mergeCell ref="F26:H26"/>
    <mergeCell ref="A7:D7"/>
    <mergeCell ref="F7:J7"/>
    <mergeCell ref="K7:M7"/>
    <mergeCell ref="A22:B22"/>
    <mergeCell ref="F22:H22"/>
    <mergeCell ref="F25:H25"/>
  </mergeCells>
  <conditionalFormatting sqref="F10 M10 A10:C12 L11:M11 E11:E12 D12 F12">
    <cfRule type="cellIs" dxfId="7" priority="21" stopIfTrue="1" operator="equal">
      <formula>0</formula>
    </cfRule>
  </conditionalFormatting>
  <conditionalFormatting sqref="G12:J18">
    <cfRule type="cellIs" dxfId="6" priority="1" stopIfTrue="1" operator="equal">
      <formula>0</formula>
    </cfRule>
  </conditionalFormatting>
  <conditionalFormatting sqref="M12:M18 A13:F18">
    <cfRule type="cellIs" dxfId="5" priority="3" stopIfTrue="1" operator="equal">
      <formula>0</formula>
    </cfRule>
  </conditionalFormatting>
  <printOptions horizontalCentered="1"/>
  <pageMargins left="0.2" right="0.2" top="0.75" bottom="0.75" header="0.3" footer="0.3"/>
  <pageSetup scale="91"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33</vt:i4>
      </vt:variant>
    </vt:vector>
  </HeadingPairs>
  <TitlesOfParts>
    <vt:vector size="49" baseType="lpstr">
      <vt:lpstr>Instructions</vt:lpstr>
      <vt:lpstr>Customer Information</vt:lpstr>
      <vt:lpstr>Rebate Information (Rooftops)</vt:lpstr>
      <vt:lpstr>Rebate Info Rooftop SEER2</vt:lpstr>
      <vt:lpstr>Rebate Information (Chillers-W)</vt:lpstr>
      <vt:lpstr>Rebate Information (Chillers-A)</vt:lpstr>
      <vt:lpstr>Rooftop Savings</vt:lpstr>
      <vt:lpstr>Rebate Information (Chillers)1</vt:lpstr>
      <vt:lpstr>Rooftop Savings SEER2</vt:lpstr>
      <vt:lpstr>Water Cooled Chillers Savings</vt:lpstr>
      <vt:lpstr>Air Cooled Chillers Savings</vt:lpstr>
      <vt:lpstr>Financial Summary</vt:lpstr>
      <vt:lpstr>Terms and Conditions</vt:lpstr>
      <vt:lpstr>Terms and Conditions -hide</vt:lpstr>
      <vt:lpstr>List_Codes_hide</vt:lpstr>
      <vt:lpstr>Revision Log</vt:lpstr>
      <vt:lpstr>AirChillerTotal</vt:lpstr>
      <vt:lpstr>'Customer Information'!ContractorAddress</vt:lpstr>
      <vt:lpstr>'Customer Information'!ContractorCity</vt:lpstr>
      <vt:lpstr>'Customer Information'!ContractorContact</vt:lpstr>
      <vt:lpstr>'Customer Information'!ContractorEmail</vt:lpstr>
      <vt:lpstr>'Customer Information'!ContractorName</vt:lpstr>
      <vt:lpstr>'Customer Information'!ContractorPhone</vt:lpstr>
      <vt:lpstr>'Customer Information'!ContractorState</vt:lpstr>
      <vt:lpstr>'Customer Information'!ContractorZip</vt:lpstr>
      <vt:lpstr>'Customer Information'!CustomerInstallAddress</vt:lpstr>
      <vt:lpstr>'Customer Information'!CustomerName</vt:lpstr>
      <vt:lpstr>kw_ton</vt:lpstr>
      <vt:lpstr>'Customer Information'!Print_Area</vt:lpstr>
      <vt:lpstr>'Financial Summary'!Print_Area</vt:lpstr>
      <vt:lpstr>Instructions!Print_Area</vt:lpstr>
      <vt:lpstr>'Rebate Info Rooftop SEER2'!Print_Area</vt:lpstr>
      <vt:lpstr>'Rebate Information (Chillers-A)'!Print_Area</vt:lpstr>
      <vt:lpstr>'Rebate Information (Chillers-W)'!Print_Area</vt:lpstr>
      <vt:lpstr>'Rebate Information (Rooftops)'!Print_Area</vt:lpstr>
      <vt:lpstr>'Rooftop Savings'!Print_Area</vt:lpstr>
      <vt:lpstr>'Rooftop Savings SEER2'!Print_Area</vt:lpstr>
      <vt:lpstr>'Terms and Conditions'!Print_Area</vt:lpstr>
      <vt:lpstr>'Terms and Conditions -hide'!Print_Area</vt:lpstr>
      <vt:lpstr>Quantity</vt:lpstr>
      <vt:lpstr>'Rebate Info Rooftop SEER2'!RooftopTotal</vt:lpstr>
      <vt:lpstr>RooftopTotal</vt:lpstr>
      <vt:lpstr>SEER_EER</vt:lpstr>
      <vt:lpstr>Tons</vt:lpstr>
      <vt:lpstr>Tons_2</vt:lpstr>
      <vt:lpstr>Unit_Code_ChillersA</vt:lpstr>
      <vt:lpstr>Unit_Code_ChillersW</vt:lpstr>
      <vt:lpstr>Unit_Code_RTU</vt:lpstr>
      <vt:lpstr>WaterChillerTotal</vt:lpstr>
    </vt:vector>
  </TitlesOfParts>
  <Company>RPU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mjzamz</dc:creator>
  <cp:lastModifiedBy>Tammy Schmoll</cp:lastModifiedBy>
  <cp:lastPrinted>2023-10-31T19:09:06Z</cp:lastPrinted>
  <dcterms:created xsi:type="dcterms:W3CDTF">2007-02-23T16:27:57Z</dcterms:created>
  <dcterms:modified xsi:type="dcterms:W3CDTF">2025-04-15T13:38:06Z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6f69592-4173-4bbf-956e-699c4a01636a_Enabled">
    <vt:lpwstr>true</vt:lpwstr>
  </property>
  <property fmtid="{D5CDD505-2E9C-101B-9397-08002B2CF9AE}" pid="3" name="MSIP_Label_56f69592-4173-4bbf-956e-699c4a01636a_SetDate">
    <vt:lpwstr>2025-04-15T13:37:28Z</vt:lpwstr>
  </property>
  <property fmtid="{D5CDD505-2E9C-101B-9397-08002B2CF9AE}" pid="4" name="MSIP_Label_56f69592-4173-4bbf-956e-699c4a01636a_Method">
    <vt:lpwstr>Standard</vt:lpwstr>
  </property>
  <property fmtid="{D5CDD505-2E9C-101B-9397-08002B2CF9AE}" pid="5" name="MSIP_Label_56f69592-4173-4bbf-956e-699c4a01636a_Name">
    <vt:lpwstr>General</vt:lpwstr>
  </property>
  <property fmtid="{D5CDD505-2E9C-101B-9397-08002B2CF9AE}" pid="6" name="MSIP_Label_56f69592-4173-4bbf-956e-699c4a01636a_SiteId">
    <vt:lpwstr>3afd512b-c959-4f9c-a2b1-b8c4b3aa52d4</vt:lpwstr>
  </property>
  <property fmtid="{D5CDD505-2E9C-101B-9397-08002B2CF9AE}" pid="7" name="MSIP_Label_56f69592-4173-4bbf-956e-699c4a01636a_ActionId">
    <vt:lpwstr>8a2cab16-1369-4180-b19c-b3d745f00a9a</vt:lpwstr>
  </property>
  <property fmtid="{D5CDD505-2E9C-101B-9397-08002B2CF9AE}" pid="8" name="MSIP_Label_56f69592-4173-4bbf-956e-699c4a01636a_ContentBits">
    <vt:lpwstr>0</vt:lpwstr>
  </property>
  <property fmtid="{D5CDD505-2E9C-101B-9397-08002B2CF9AE}" pid="9" name="MSIP_Label_56f69592-4173-4bbf-956e-699c4a01636a_Tag">
    <vt:lpwstr>10, 3, 0, 1</vt:lpwstr>
  </property>
</Properties>
</file>